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onic\Downloads\"/>
    </mc:Choice>
  </mc:AlternateContent>
  <xr:revisionPtr revIDLastSave="0" documentId="8_{5C11E797-22AA-45A9-9A7B-4E53EE2E3F6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調查摘要" sheetId="1" r:id="rId1"/>
    <sheet name="商品完整資料" sheetId="2" r:id="rId2"/>
    <sheet name="同款商品跨平台比較" sheetId="3" r:id="rId3"/>
    <sheet name="檔期主打商品" sheetId="4" r:id="rId4"/>
    <sheet name="促銷與贈品比較" sheetId="5" r:id="rId5"/>
    <sheet name="來源與搜尋紀錄" sheetId="6" r:id="rId6"/>
    <sheet name="缺漏與異常" sheetId="7" r:id="rId7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6" l="1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E23" i="5"/>
  <c r="E18" i="5"/>
  <c r="E17" i="5"/>
  <c r="E12" i="5"/>
  <c r="E11" i="5"/>
  <c r="E6" i="5"/>
  <c r="E5" i="5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M8" i="3"/>
  <c r="E8" i="3"/>
  <c r="M7" i="3"/>
  <c r="E7" i="3"/>
  <c r="M6" i="3"/>
  <c r="E6" i="3"/>
  <c r="M5" i="3"/>
  <c r="E5" i="3"/>
  <c r="M4" i="3"/>
  <c r="E4" i="3"/>
  <c r="M3" i="3"/>
  <c r="E3" i="3"/>
  <c r="M2" i="3"/>
  <c r="I2" i="3"/>
  <c r="E2" i="3"/>
  <c r="BG35" i="2"/>
  <c r="AM35" i="2"/>
  <c r="E35" i="5" s="1"/>
  <c r="AL35" i="2"/>
  <c r="D35" i="5" s="1"/>
  <c r="AK35" i="2"/>
  <c r="AI35" i="2"/>
  <c r="E27" i="4" s="1"/>
  <c r="AH35" i="2"/>
  <c r="T35" i="2"/>
  <c r="AJ35" i="2" s="1"/>
  <c r="M35" i="2"/>
  <c r="L35" i="2"/>
  <c r="BG34" i="2"/>
  <c r="AM34" i="2"/>
  <c r="E34" i="5" s="1"/>
  <c r="AL34" i="2"/>
  <c r="D34" i="5" s="1"/>
  <c r="AK34" i="2"/>
  <c r="AI34" i="2"/>
  <c r="E26" i="4" s="1"/>
  <c r="AH34" i="2"/>
  <c r="T34" i="2"/>
  <c r="AJ34" i="2" s="1"/>
  <c r="M34" i="2"/>
  <c r="L34" i="2"/>
  <c r="BH33" i="2"/>
  <c r="BI33" i="2" s="1"/>
  <c r="BG33" i="2"/>
  <c r="BJ33" i="2" s="1"/>
  <c r="AM33" i="2"/>
  <c r="E33" i="5" s="1"/>
  <c r="AL33" i="2"/>
  <c r="D33" i="5" s="1"/>
  <c r="AK33" i="2"/>
  <c r="AJ33" i="2"/>
  <c r="AI33" i="2"/>
  <c r="E25" i="4" s="1"/>
  <c r="AH33" i="2"/>
  <c r="T33" i="2"/>
  <c r="M33" i="2"/>
  <c r="L33" i="2"/>
  <c r="BG32" i="2"/>
  <c r="AM32" i="2"/>
  <c r="E32" i="5" s="1"/>
  <c r="AL32" i="2"/>
  <c r="D32" i="5" s="1"/>
  <c r="AK32" i="2"/>
  <c r="AJ32" i="2"/>
  <c r="AI32" i="2"/>
  <c r="BJ32" i="2" s="1"/>
  <c r="AH32" i="2"/>
  <c r="T32" i="2"/>
  <c r="L32" i="2"/>
  <c r="BG31" i="2"/>
  <c r="AM31" i="2"/>
  <c r="E31" i="5" s="1"/>
  <c r="AL31" i="2"/>
  <c r="D31" i="5" s="1"/>
  <c r="AK31" i="2"/>
  <c r="AJ31" i="2"/>
  <c r="I8" i="3" s="1"/>
  <c r="AI31" i="2"/>
  <c r="BJ31" i="2" s="1"/>
  <c r="AH31" i="2"/>
  <c r="T31" i="2"/>
  <c r="L31" i="2"/>
  <c r="BG30" i="2"/>
  <c r="AM30" i="2"/>
  <c r="E30" i="5" s="1"/>
  <c r="AL30" i="2"/>
  <c r="D30" i="5" s="1"/>
  <c r="AK30" i="2"/>
  <c r="AJ30" i="2"/>
  <c r="AI30" i="2"/>
  <c r="BJ30" i="2" s="1"/>
  <c r="AH30" i="2"/>
  <c r="T30" i="2"/>
  <c r="L30" i="2"/>
  <c r="BG29" i="2"/>
  <c r="AM29" i="2"/>
  <c r="E29" i="5" s="1"/>
  <c r="AL29" i="2"/>
  <c r="D29" i="5" s="1"/>
  <c r="AK29" i="2"/>
  <c r="AJ29" i="2"/>
  <c r="AI29" i="2"/>
  <c r="E21" i="4" s="1"/>
  <c r="AH29" i="2"/>
  <c r="T29" i="2"/>
  <c r="L29" i="2"/>
  <c r="BG28" i="2"/>
  <c r="AM28" i="2"/>
  <c r="E28" i="5" s="1"/>
  <c r="AL28" i="2"/>
  <c r="D28" i="5" s="1"/>
  <c r="AK28" i="2"/>
  <c r="AJ28" i="2"/>
  <c r="AI28" i="2"/>
  <c r="E20" i="4" s="1"/>
  <c r="AH28" i="2"/>
  <c r="T28" i="2"/>
  <c r="L28" i="2"/>
  <c r="BG27" i="2"/>
  <c r="AM27" i="2"/>
  <c r="E27" i="5" s="1"/>
  <c r="AL27" i="2"/>
  <c r="D27" i="5" s="1"/>
  <c r="AK27" i="2"/>
  <c r="AJ27" i="2"/>
  <c r="AI27" i="2"/>
  <c r="E19" i="4" s="1"/>
  <c r="AH27" i="2"/>
  <c r="T27" i="2"/>
  <c r="L27" i="2"/>
  <c r="BG26" i="2"/>
  <c r="AM26" i="2"/>
  <c r="E26" i="5" s="1"/>
  <c r="AL26" i="2"/>
  <c r="D26" i="5" s="1"/>
  <c r="AK26" i="2"/>
  <c r="AJ26" i="2"/>
  <c r="AI26" i="2"/>
  <c r="BJ26" i="2" s="1"/>
  <c r="AH26" i="2"/>
  <c r="T26" i="2"/>
  <c r="L26" i="2"/>
  <c r="BG25" i="2"/>
  <c r="BH25" i="2" s="1"/>
  <c r="BI25" i="2" s="1"/>
  <c r="AM25" i="2"/>
  <c r="E25" i="5" s="1"/>
  <c r="AL25" i="2"/>
  <c r="D25" i="5" s="1"/>
  <c r="AK25" i="2"/>
  <c r="AJ25" i="2"/>
  <c r="AI25" i="2"/>
  <c r="BJ25" i="2" s="1"/>
  <c r="AH25" i="2"/>
  <c r="T25" i="2"/>
  <c r="L25" i="2"/>
  <c r="BG24" i="2"/>
  <c r="BH24" i="2" s="1"/>
  <c r="BI24" i="2" s="1"/>
  <c r="AM24" i="2"/>
  <c r="E24" i="5" s="1"/>
  <c r="AL24" i="2"/>
  <c r="D24" i="5" s="1"/>
  <c r="AK24" i="2"/>
  <c r="AJ24" i="2"/>
  <c r="AI24" i="2"/>
  <c r="BJ24" i="2" s="1"/>
  <c r="AH24" i="2"/>
  <c r="T24" i="2"/>
  <c r="L24" i="2"/>
  <c r="BG23" i="2"/>
  <c r="BH23" i="2" s="1"/>
  <c r="BI23" i="2" s="1"/>
  <c r="AM23" i="2"/>
  <c r="AL23" i="2"/>
  <c r="D23" i="5" s="1"/>
  <c r="AK23" i="2"/>
  <c r="AJ23" i="2"/>
  <c r="AI23" i="2"/>
  <c r="BJ23" i="2" s="1"/>
  <c r="AH23" i="2"/>
  <c r="T23" i="2"/>
  <c r="L23" i="2"/>
  <c r="BG22" i="2"/>
  <c r="BH22" i="2" s="1"/>
  <c r="BI22" i="2" s="1"/>
  <c r="AM22" i="2"/>
  <c r="E22" i="5" s="1"/>
  <c r="AL22" i="2"/>
  <c r="D22" i="5" s="1"/>
  <c r="AK22" i="2"/>
  <c r="AJ22" i="2"/>
  <c r="AI22" i="2"/>
  <c r="E15" i="4" s="1"/>
  <c r="AH22" i="2"/>
  <c r="T22" i="2"/>
  <c r="L22" i="2"/>
  <c r="BG21" i="2"/>
  <c r="BH21" i="2" s="1"/>
  <c r="BI21" i="2" s="1"/>
  <c r="AM21" i="2"/>
  <c r="E21" i="5" s="1"/>
  <c r="AL21" i="2"/>
  <c r="D21" i="5" s="1"/>
  <c r="AK21" i="2"/>
  <c r="AJ21" i="2"/>
  <c r="I7" i="3" s="1"/>
  <c r="AI21" i="2"/>
  <c r="H7" i="3" s="1"/>
  <c r="AH21" i="2"/>
  <c r="T21" i="2"/>
  <c r="L21" i="2"/>
  <c r="BG20" i="2"/>
  <c r="BH20" i="2" s="1"/>
  <c r="BI20" i="2" s="1"/>
  <c r="AM20" i="2"/>
  <c r="E20" i="5" s="1"/>
  <c r="AL20" i="2"/>
  <c r="D20" i="5" s="1"/>
  <c r="AK20" i="2"/>
  <c r="AJ20" i="2"/>
  <c r="I6" i="3" s="1"/>
  <c r="AI20" i="2"/>
  <c r="E14" i="4" s="1"/>
  <c r="AH20" i="2"/>
  <c r="T20" i="2"/>
  <c r="L20" i="2"/>
  <c r="BG19" i="2"/>
  <c r="BH19" i="2" s="1"/>
  <c r="BI19" i="2" s="1"/>
  <c r="AM19" i="2"/>
  <c r="E19" i="5" s="1"/>
  <c r="AL19" i="2"/>
  <c r="D19" i="5" s="1"/>
  <c r="AK19" i="2"/>
  <c r="AJ19" i="2"/>
  <c r="AI19" i="2"/>
  <c r="E13" i="4" s="1"/>
  <c r="AH19" i="2"/>
  <c r="T19" i="2"/>
  <c r="L19" i="2"/>
  <c r="BG18" i="2"/>
  <c r="BH18" i="2" s="1"/>
  <c r="BI18" i="2" s="1"/>
  <c r="AM18" i="2"/>
  <c r="AL18" i="2"/>
  <c r="D18" i="5" s="1"/>
  <c r="AK18" i="2"/>
  <c r="AJ18" i="2"/>
  <c r="AI18" i="2"/>
  <c r="BJ18" i="2" s="1"/>
  <c r="AH18" i="2"/>
  <c r="T18" i="2"/>
  <c r="L18" i="2"/>
  <c r="BG17" i="2"/>
  <c r="BH17" i="2" s="1"/>
  <c r="BI17" i="2" s="1"/>
  <c r="AM17" i="2"/>
  <c r="AL17" i="2"/>
  <c r="D17" i="5" s="1"/>
  <c r="AK17" i="2"/>
  <c r="AJ17" i="2"/>
  <c r="AI17" i="2"/>
  <c r="BJ17" i="2" s="1"/>
  <c r="AH17" i="2"/>
  <c r="T17" i="2"/>
  <c r="L17" i="2"/>
  <c r="BG16" i="2"/>
  <c r="BH16" i="2" s="1"/>
  <c r="BI16" i="2" s="1"/>
  <c r="AM16" i="2"/>
  <c r="E16" i="5" s="1"/>
  <c r="AL16" i="2"/>
  <c r="D16" i="5" s="1"/>
  <c r="AK16" i="2"/>
  <c r="AJ16" i="2"/>
  <c r="AI16" i="2"/>
  <c r="BJ16" i="2" s="1"/>
  <c r="AH16" i="2"/>
  <c r="T16" i="2"/>
  <c r="L16" i="2"/>
  <c r="BG15" i="2"/>
  <c r="BH15" i="2" s="1"/>
  <c r="BI15" i="2" s="1"/>
  <c r="AM15" i="2"/>
  <c r="E15" i="5" s="1"/>
  <c r="AL15" i="2"/>
  <c r="D15" i="5" s="1"/>
  <c r="AK15" i="2"/>
  <c r="AJ15" i="2"/>
  <c r="AI15" i="2"/>
  <c r="E9" i="4" s="1"/>
  <c r="AH15" i="2"/>
  <c r="T15" i="2"/>
  <c r="L15" i="2"/>
  <c r="BG14" i="2"/>
  <c r="BH14" i="2" s="1"/>
  <c r="BI14" i="2" s="1"/>
  <c r="AM14" i="2"/>
  <c r="E14" i="5" s="1"/>
  <c r="AL14" i="2"/>
  <c r="D14" i="5" s="1"/>
  <c r="AK14" i="2"/>
  <c r="AJ14" i="2"/>
  <c r="AI14" i="2"/>
  <c r="E8" i="4" s="1"/>
  <c r="AH14" i="2"/>
  <c r="T14" i="2"/>
  <c r="L14" i="2"/>
  <c r="BG13" i="2"/>
  <c r="BH13" i="2" s="1"/>
  <c r="BI13" i="2" s="1"/>
  <c r="AM13" i="2"/>
  <c r="E13" i="5" s="1"/>
  <c r="AL13" i="2"/>
  <c r="D13" i="5" s="1"/>
  <c r="AK13" i="2"/>
  <c r="AJ13" i="2"/>
  <c r="I5" i="3" s="1"/>
  <c r="AI13" i="2"/>
  <c r="BJ13" i="2" s="1"/>
  <c r="AH13" i="2"/>
  <c r="T13" i="2"/>
  <c r="L13" i="2"/>
  <c r="BG12" i="2"/>
  <c r="BH12" i="2" s="1"/>
  <c r="BI12" i="2" s="1"/>
  <c r="AM12" i="2"/>
  <c r="AL12" i="2"/>
  <c r="D12" i="5" s="1"/>
  <c r="AK12" i="2"/>
  <c r="AJ12" i="2"/>
  <c r="AI12" i="2"/>
  <c r="BJ12" i="2" s="1"/>
  <c r="AH12" i="2"/>
  <c r="T12" i="2"/>
  <c r="L12" i="2"/>
  <c r="BG11" i="2"/>
  <c r="BH11" i="2" s="1"/>
  <c r="BI11" i="2" s="1"/>
  <c r="AM11" i="2"/>
  <c r="AL11" i="2"/>
  <c r="D11" i="5" s="1"/>
  <c r="AK11" i="2"/>
  <c r="AJ11" i="2"/>
  <c r="AI11" i="2"/>
  <c r="BJ11" i="2" s="1"/>
  <c r="AH11" i="2"/>
  <c r="T11" i="2"/>
  <c r="L11" i="2"/>
  <c r="BG10" i="2"/>
  <c r="BH10" i="2" s="1"/>
  <c r="BI10" i="2" s="1"/>
  <c r="AM10" i="2"/>
  <c r="E10" i="5" s="1"/>
  <c r="AL10" i="2"/>
  <c r="D10" i="5" s="1"/>
  <c r="AK10" i="2"/>
  <c r="AJ10" i="2"/>
  <c r="AI10" i="2"/>
  <c r="E7" i="4" s="1"/>
  <c r="AH10" i="2"/>
  <c r="T10" i="2"/>
  <c r="L10" i="2"/>
  <c r="BG9" i="2"/>
  <c r="BH9" i="2" s="1"/>
  <c r="BI9" i="2" s="1"/>
  <c r="AM9" i="2"/>
  <c r="E9" i="5" s="1"/>
  <c r="AL9" i="2"/>
  <c r="D9" i="5" s="1"/>
  <c r="AK9" i="2"/>
  <c r="AJ9" i="2"/>
  <c r="I4" i="3" s="1"/>
  <c r="AI9" i="2"/>
  <c r="H4" i="3" s="1"/>
  <c r="AH9" i="2"/>
  <c r="T9" i="2"/>
  <c r="L9" i="2"/>
  <c r="BG8" i="2"/>
  <c r="BH8" i="2" s="1"/>
  <c r="BI8" i="2" s="1"/>
  <c r="AM8" i="2"/>
  <c r="E8" i="5" s="1"/>
  <c r="AL8" i="2"/>
  <c r="D8" i="5" s="1"/>
  <c r="AK8" i="2"/>
  <c r="AJ8" i="2"/>
  <c r="AI8" i="2"/>
  <c r="BJ8" i="2" s="1"/>
  <c r="AH8" i="2"/>
  <c r="T8" i="2"/>
  <c r="L8" i="2"/>
  <c r="BG7" i="2"/>
  <c r="BH7" i="2" s="1"/>
  <c r="BI7" i="2" s="1"/>
  <c r="AM7" i="2"/>
  <c r="E7" i="5" s="1"/>
  <c r="AL7" i="2"/>
  <c r="D7" i="5" s="1"/>
  <c r="AK7" i="2"/>
  <c r="AJ7" i="2"/>
  <c r="AI7" i="2"/>
  <c r="BJ7" i="2" s="1"/>
  <c r="AH7" i="2"/>
  <c r="T7" i="2"/>
  <c r="L7" i="2"/>
  <c r="BG6" i="2"/>
  <c r="BH6" i="2" s="1"/>
  <c r="BI6" i="2" s="1"/>
  <c r="AM6" i="2"/>
  <c r="AL6" i="2"/>
  <c r="D6" i="5" s="1"/>
  <c r="AK6" i="2"/>
  <c r="AJ6" i="2"/>
  <c r="AI6" i="2"/>
  <c r="BJ6" i="2" s="1"/>
  <c r="AH6" i="2"/>
  <c r="T6" i="2"/>
  <c r="L6" i="2"/>
  <c r="BG5" i="2"/>
  <c r="BH5" i="2" s="1"/>
  <c r="BI5" i="2" s="1"/>
  <c r="AM5" i="2"/>
  <c r="AL5" i="2"/>
  <c r="D5" i="5" s="1"/>
  <c r="AK5" i="2"/>
  <c r="AJ5" i="2"/>
  <c r="I3" i="3" s="1"/>
  <c r="AI5" i="2"/>
  <c r="BJ5" i="2" s="1"/>
  <c r="AH5" i="2"/>
  <c r="T5" i="2"/>
  <c r="L5" i="2"/>
  <c r="BG4" i="2"/>
  <c r="BH4" i="2" s="1"/>
  <c r="BI4" i="2" s="1"/>
  <c r="AM4" i="2"/>
  <c r="E4" i="5" s="1"/>
  <c r="AL4" i="2"/>
  <c r="D4" i="5" s="1"/>
  <c r="AK4" i="2"/>
  <c r="AJ4" i="2"/>
  <c r="AI4" i="2"/>
  <c r="E3" i="4" s="1"/>
  <c r="AH4" i="2"/>
  <c r="T4" i="2"/>
  <c r="L4" i="2"/>
  <c r="BG3" i="2"/>
  <c r="BH3" i="2" s="1"/>
  <c r="BI3" i="2" s="1"/>
  <c r="AM3" i="2"/>
  <c r="E3" i="5" s="1"/>
  <c r="AL3" i="2"/>
  <c r="D3" i="5" s="1"/>
  <c r="AK3" i="2"/>
  <c r="AJ3" i="2"/>
  <c r="AI3" i="2"/>
  <c r="BJ3" i="2" s="1"/>
  <c r="AH3" i="2"/>
  <c r="T3" i="2"/>
  <c r="L3" i="2"/>
  <c r="BG2" i="2"/>
  <c r="BH2" i="2" s="1"/>
  <c r="BI2" i="2" s="1"/>
  <c r="AM2" i="2"/>
  <c r="E2" i="5" s="1"/>
  <c r="AL2" i="2"/>
  <c r="D2" i="5" s="1"/>
  <c r="AK2" i="2"/>
  <c r="AJ2" i="2"/>
  <c r="AI2" i="2"/>
  <c r="E2" i="4" s="1"/>
  <c r="AH2" i="2"/>
  <c r="T2" i="2"/>
  <c r="L2" i="2"/>
  <c r="B21" i="1"/>
  <c r="B20" i="1"/>
  <c r="B19" i="1"/>
  <c r="B18" i="1"/>
  <c r="B17" i="1"/>
  <c r="B16" i="1"/>
  <c r="B12" i="1"/>
  <c r="B11" i="1"/>
  <c r="B10" i="1"/>
  <c r="P4" i="3" l="1"/>
  <c r="N4" i="3"/>
  <c r="O4" i="3" s="1"/>
  <c r="N7" i="3"/>
  <c r="O7" i="3" s="1"/>
  <c r="P7" i="3"/>
  <c r="H6" i="3"/>
  <c r="E4" i="4"/>
  <c r="E10" i="4"/>
  <c r="E16" i="4"/>
  <c r="E22" i="4"/>
  <c r="BH26" i="2"/>
  <c r="BI26" i="2" s="1"/>
  <c r="BH27" i="2"/>
  <c r="BI27" i="2" s="1"/>
  <c r="BH28" i="2"/>
  <c r="BI28" i="2" s="1"/>
  <c r="BH29" i="2"/>
  <c r="BI29" i="2" s="1"/>
  <c r="BH30" i="2"/>
  <c r="BI30" i="2" s="1"/>
  <c r="BH31" i="2"/>
  <c r="BI31" i="2" s="1"/>
  <c r="BH32" i="2"/>
  <c r="BI32" i="2" s="1"/>
  <c r="H8" i="3"/>
  <c r="E5" i="4"/>
  <c r="E11" i="4"/>
  <c r="E17" i="4"/>
  <c r="E23" i="4"/>
  <c r="H3" i="3"/>
  <c r="E6" i="4"/>
  <c r="E12" i="4"/>
  <c r="E18" i="4"/>
  <c r="E24" i="4"/>
  <c r="H5" i="3"/>
  <c r="BJ2" i="2"/>
  <c r="BJ4" i="2"/>
  <c r="BJ9" i="2"/>
  <c r="BJ10" i="2"/>
  <c r="BJ14" i="2"/>
  <c r="BJ15" i="2"/>
  <c r="BJ19" i="2"/>
  <c r="BJ20" i="2"/>
  <c r="BJ21" i="2"/>
  <c r="BJ22" i="2"/>
  <c r="BJ27" i="2"/>
  <c r="BJ28" i="2"/>
  <c r="BJ29" i="2"/>
  <c r="BH34" i="2"/>
  <c r="BI34" i="2" s="1"/>
  <c r="BH35" i="2"/>
  <c r="BI35" i="2" s="1"/>
  <c r="BJ34" i="2"/>
  <c r="BJ35" i="2"/>
  <c r="H2" i="3"/>
  <c r="P3" i="3" l="1"/>
  <c r="N3" i="3"/>
  <c r="O3" i="3" s="1"/>
  <c r="P8" i="3"/>
  <c r="N8" i="3"/>
  <c r="O8" i="3" s="1"/>
  <c r="P6" i="3"/>
  <c r="N6" i="3"/>
  <c r="O6" i="3" s="1"/>
  <c r="P5" i="3"/>
  <c r="N5" i="3"/>
  <c r="O5" i="3" s="1"/>
  <c r="N2" i="3"/>
  <c r="O2" i="3" s="1"/>
  <c r="P2" i="3"/>
</calcChain>
</file>

<file path=xl/sharedStrings.xml><?xml version="1.0" encoding="utf-8"?>
<sst xmlns="http://schemas.openxmlformats.org/spreadsheetml/2006/main" count="1878" uniqueCount="574">
  <si>
    <t>台灣電商雞精產品檔期調查與價格比較</t>
  </si>
  <si>
    <t>本報告價格為查詢當時的公開頁面資料，實際售價、庫存、折價券、會員條件及贈品可能隨時變動。</t>
  </si>
  <si>
    <t>調查指標</t>
  </si>
  <si>
    <t>結果</t>
  </si>
  <si>
    <t>主要發現</t>
  </si>
  <si>
    <t>調查期間</t>
  </si>
  <si>
    <t>2026-05-16 至 2026-07-14</t>
  </si>
  <si>
    <t>1. A／B級資料中，傳統雞精最低單位價來自 Costco 白蘭氏混合容量加量組；滴雞精需分常溫、冷凍及配方比較。</t>
  </si>
  <si>
    <t>查詢完成時間</t>
  </si>
  <si>
    <t>2. 同規格老協珍常溫熬雞精28入，momo與PChome公開價同為3,080元；PChome另有滿額贈。</t>
  </si>
  <si>
    <t>調查平台數</t>
  </si>
  <si>
    <t>3. Yahoo一午一食30＋3包組以加贈後單包價計算，公開價約78元；150元點換券另列條件價。</t>
  </si>
  <si>
    <t>收錄品牌數</t>
  </si>
  <si>
    <t>4. 平台常見促銷為公開折扣、滿額贈、折價券、登記回饋與訂閱價；信用卡回饋未混入公開成交基準價。</t>
  </si>
  <si>
    <t>基礎商品數</t>
  </si>
  <si>
    <t>5. 東森與博客來受動態載入或頁面錯誤影響，相關價格只列待確認，不納入主要最低價結論。</t>
  </si>
  <si>
    <t>平台商品紀錄數</t>
  </si>
  <si>
    <t>有贈品商品數</t>
  </si>
  <si>
    <t>A／B級可比較紀錄數</t>
  </si>
  <si>
    <t>資料取得限制</t>
  </si>
  <si>
    <t>博客來商品頁回傳錯誤；東森價格區動態載入；蝦皮部分商品需選規格或活動尚未開始。</t>
  </si>
  <si>
    <t>平台</t>
  </si>
  <si>
    <t>A/B級最低單位價</t>
  </si>
  <si>
    <t>代表商品</t>
  </si>
  <si>
    <t>備註</t>
  </si>
  <si>
    <t>momo購物網</t>
  </si>
  <si>
    <t>一午一食30＋3包組</t>
  </si>
  <si>
    <t>依含同款贈品後單包價</t>
  </si>
  <si>
    <t>PChome 24h購物</t>
  </si>
  <si>
    <t>純煉原味30包組</t>
  </si>
  <si>
    <t>A/B級資料</t>
  </si>
  <si>
    <t>Yahoo購物中心</t>
  </si>
  <si>
    <t>不含點換券</t>
  </si>
  <si>
    <t>蝦皮商城</t>
  </si>
  <si>
    <t>白蘭氏萃雞精9入</t>
  </si>
  <si>
    <t>排除多選項未確認價格</t>
  </si>
  <si>
    <t>Costco台灣線上購物</t>
  </si>
  <si>
    <t>白蘭氏雞精加量組</t>
  </si>
  <si>
    <t>混合容量；傳統雞精</t>
  </si>
  <si>
    <t>品牌官方網站</t>
  </si>
  <si>
    <t>田原香嗽nice20入</t>
  </si>
  <si>
    <t>官網7月主打星</t>
  </si>
  <si>
    <t>商品識別碼</t>
  </si>
  <si>
    <t>比較鍵</t>
  </si>
  <si>
    <t>品牌</t>
  </si>
  <si>
    <t>完整商品名稱</t>
  </si>
  <si>
    <t>商品類型</t>
  </si>
  <si>
    <t>配方或口味</t>
  </si>
  <si>
    <t>適用族群</t>
  </si>
  <si>
    <t>機能型產品</t>
  </si>
  <si>
    <t>店家</t>
  </si>
  <si>
    <t>官方店家</t>
  </si>
  <si>
    <t>商品網址</t>
  </si>
  <si>
    <t>活動網址</t>
  </si>
  <si>
    <t>每包容量ml</t>
  </si>
  <si>
    <t>每盒入數</t>
  </si>
  <si>
    <t>盒數</t>
  </si>
  <si>
    <t>付費包數</t>
  </si>
  <si>
    <t>加贈包數</t>
  </si>
  <si>
    <t>實際取得總包數</t>
  </si>
  <si>
    <t>總容量ml</t>
  </si>
  <si>
    <t>包裝形式</t>
  </si>
  <si>
    <t>常溫或冷凍</t>
  </si>
  <si>
    <t>建議售價</t>
  </si>
  <si>
    <t>頁面原價</t>
  </si>
  <si>
    <t>公開售價</t>
  </si>
  <si>
    <t>活動價</t>
  </si>
  <si>
    <t>會員價</t>
  </si>
  <si>
    <t>折價券後價格</t>
  </si>
  <si>
    <t>信用卡或支付優惠後價</t>
  </si>
  <si>
    <t>訂閱價格</t>
  </si>
  <si>
    <t>條件式最低價</t>
  </si>
  <si>
    <t>運費</t>
  </si>
  <si>
    <t>是否免運</t>
  </si>
  <si>
    <t>公開售價每包價格</t>
  </si>
  <si>
    <t>含同款贈品後每包價格</t>
  </si>
  <si>
    <t>每100毫升價格</t>
  </si>
  <si>
    <t>每盒價格</t>
  </si>
  <si>
    <t>折扣率</t>
  </si>
  <si>
    <t>加贈比例</t>
  </si>
  <si>
    <t>贈品名稱</t>
  </si>
  <si>
    <t>贈品數量</t>
  </si>
  <si>
    <t>贈品規格</t>
  </si>
  <si>
    <t>贈品條件</t>
  </si>
  <si>
    <t>主要成分</t>
  </si>
  <si>
    <t>無添加標示</t>
  </si>
  <si>
    <t>是否含糖</t>
  </si>
  <si>
    <t>鈉資訊</t>
  </si>
  <si>
    <t>中藥材／草本／膠原等機能成分</t>
  </si>
  <si>
    <t>雞隻品種或原料來源</t>
  </si>
  <si>
    <t>原產地</t>
  </si>
  <si>
    <t>保存期限</t>
  </si>
  <si>
    <t>保存方式</t>
  </si>
  <si>
    <t>優惠開始日期</t>
  </si>
  <si>
    <t>優惠結束日期</t>
  </si>
  <si>
    <t>入選依據</t>
  </si>
  <si>
    <t>查詢日期與時間</t>
  </si>
  <si>
    <t>資料完整度</t>
  </si>
  <si>
    <t>跨平台最低單位價</t>
  </si>
  <si>
    <t>與最低價差額</t>
  </si>
  <si>
    <t>與最低價差異百分比</t>
  </si>
  <si>
    <t>是否為最低價</t>
  </si>
  <si>
    <t>MOMO-001</t>
  </si>
  <si>
    <t>WOF-GOOD-65-33</t>
  </si>
  <si>
    <t>一午一食</t>
  </si>
  <si>
    <t>好體質滴雞精30入＋贈3包不挑款（65ml／包，環保包裝）</t>
  </si>
  <si>
    <t>滴雞精</t>
  </si>
  <si>
    <t>牛蒡、蒜頭、紅棗</t>
  </si>
  <si>
    <t>一般成人</t>
  </si>
  <si>
    <t>是</t>
  </si>
  <si>
    <t>盒裝／鋁箔包</t>
  </si>
  <si>
    <t>頁面未揭露</t>
  </si>
  <si>
    <t>滴雞精不挑款</t>
  </si>
  <si>
    <t>65ml／包</t>
  </si>
  <si>
    <t>隨主商品加贈</t>
  </si>
  <si>
    <t>滴雞精、牛蒡、蒜頭、紅棗</t>
  </si>
  <si>
    <t>台灣</t>
  </si>
  <si>
    <t>7月單件85折、平台商品頁標示限時折後價</t>
  </si>
  <si>
    <t>B</t>
  </si>
  <si>
    <t>商品頁配送欄顯示低溫宅配，但文字區未明示商品保存型態。</t>
  </si>
  <si>
    <t>MOMO-002</t>
  </si>
  <si>
    <t>WANG-ORIG-65-20</t>
  </si>
  <si>
    <t>王朝</t>
  </si>
  <si>
    <t>原味滴雞精20入／盒（65ml／包）</t>
  </si>
  <si>
    <t>冷凍滴雞精</t>
  </si>
  <si>
    <t>原味</t>
  </si>
  <si>
    <t>否</t>
  </si>
  <si>
    <t>冷凍配送</t>
  </si>
  <si>
    <t>無</t>
  </si>
  <si>
    <t>雞精</t>
  </si>
  <si>
    <t>不添加防腐劑、不加水</t>
  </si>
  <si>
    <t>18種胺基酸、膠原蛋白</t>
  </si>
  <si>
    <t>每隻雞經駐廠獸醫師檢查；品種未揭露</t>
  </si>
  <si>
    <t>冷凍配送；保存說明未完整顯示</t>
  </si>
  <si>
    <t>商品頁標示熱銷國際品牌、國際雙認證</t>
  </si>
  <si>
    <t>MOMO-003</t>
  </si>
  <si>
    <t>LXZ-ORIG-42-14</t>
  </si>
  <si>
    <t>老協珍</t>
  </si>
  <si>
    <t>熬雞精禮盒常溫14入（42ml／入）</t>
  </si>
  <si>
    <t>常溫熬雞精</t>
  </si>
  <si>
    <t>常溫</t>
  </si>
  <si>
    <t>是（商品金額達門檻）</t>
  </si>
  <si>
    <t>老母雞、豬肉</t>
  </si>
  <si>
    <t>膠原蛋白、胺基酸</t>
  </si>
  <si>
    <t>老母雞</t>
  </si>
  <si>
    <t>540日</t>
  </si>
  <si>
    <t>常溫陰涼處</t>
  </si>
  <si>
    <t>momo滴雞精分類前段、總銷量高、多組數方案</t>
  </si>
  <si>
    <t>A</t>
  </si>
  <si>
    <t>週期購1,596元屬條件價，不取代公開價。</t>
  </si>
  <si>
    <t>MOMO-004</t>
  </si>
  <si>
    <t>LXZ-ORIG-42-28</t>
  </si>
  <si>
    <t>熬雞精禮盒常溫14入×2盒（42ml／入）</t>
  </si>
  <si>
    <t>分類頁前段、總銷量逾40萬、兩盒主力組</t>
  </si>
  <si>
    <t>MOMO-005</t>
  </si>
  <si>
    <t>FUNZ-DAYMOON-NA-25</t>
  </si>
  <si>
    <t>芳茲</t>
  </si>
  <si>
    <t>日月養生滴雞精環保包裝組25包（官方直營／常溫）</t>
  </si>
  <si>
    <t>常溫滴雞精</t>
  </si>
  <si>
    <t>芳茲官方直營</t>
  </si>
  <si>
    <t>環保箱／鋁箔包</t>
  </si>
  <si>
    <t>全雞滴煉液</t>
  </si>
  <si>
    <t>不加水；0脂肪、0膽固醇</t>
  </si>
  <si>
    <t>健字號抗疲勞</t>
  </si>
  <si>
    <t>全雞；品種未於文字區揭露</t>
  </si>
  <si>
    <t>官方直營、人體試驗抗疲勞健字號、分類頁前段</t>
  </si>
  <si>
    <t>C</t>
  </si>
  <si>
    <t>商品文字區未顯示單包容量與保存期限，未以其他通路的通行規格代填。</t>
  </si>
  <si>
    <t>MOMO-006</t>
  </si>
  <si>
    <t>NCH-ORIG-50G-8</t>
  </si>
  <si>
    <t>農純鄉</t>
  </si>
  <si>
    <t>常溫滴雞精8入（50g／入）</t>
  </si>
  <si>
    <t>台灣土雞</t>
  </si>
  <si>
    <t>膠質、蛋白質</t>
  </si>
  <si>
    <t>18個月</t>
  </si>
  <si>
    <t>品牌主力入門禮盒、平台分類前段</t>
  </si>
  <si>
    <t>頁面以50g標示，未直接換算為ml；moPro會員可再省100元，列條件價。</t>
  </si>
  <si>
    <t>MOMO-007</t>
  </si>
  <si>
    <t>NCH-ORIG-NA-28</t>
  </si>
  <si>
    <t>常溫滴雞精28入（無禮盒環保箱）</t>
  </si>
  <si>
    <t>滿額滴雞精5入或黑豆茶5包</t>
  </si>
  <si>
    <t>依滿額方案</t>
  </si>
  <si>
    <t>滿5,999元或3,499元；單件未必取得</t>
  </si>
  <si>
    <t>家庭號主力組、週期購與滿額贈</t>
  </si>
  <si>
    <t>商品文字區未顯示單包容量，未以其他商品規格代填。</t>
  </si>
  <si>
    <t>PCH-001</t>
  </si>
  <si>
    <t>熬雞精禮盒42ml×14入×2盒</t>
  </si>
  <si>
    <t>PChome 24h</t>
  </si>
  <si>
    <t>自營</t>
  </si>
  <si>
    <t>美顏飲1入；亮晶精6入</t>
  </si>
  <si>
    <t>不同品項</t>
  </si>
  <si>
    <t>老協珍指定品滿2,000元及3,000元；依頁面活動</t>
  </si>
  <si>
    <t>0膽固醇</t>
  </si>
  <si>
    <t>131則評價、館長推薦、兩盒主力組</t>
  </si>
  <si>
    <t>非同款贈品未折抵售價。</t>
  </si>
  <si>
    <t>PCH-002</t>
  </si>
  <si>
    <t>QINYI-65-40</t>
  </si>
  <si>
    <t>勤億</t>
  </si>
  <si>
    <t>幸福滴雞精20入2盒組</t>
  </si>
  <si>
    <t>勤億官方直售</t>
  </si>
  <si>
    <t>冷凍</t>
  </si>
  <si>
    <t>100%滴煉、不加水、不加中藥</t>
  </si>
  <si>
    <t>77mg／65ml</t>
  </si>
  <si>
    <t>自有牧場熟齡老母雞</t>
  </si>
  <si>
    <t>270日／9個月</t>
  </si>
  <si>
    <t>-18°C冷凍</t>
  </si>
  <si>
    <t>官方直售、平台5星評價、兩盒家庭組</t>
  </si>
  <si>
    <t>PCH-003</t>
  </si>
  <si>
    <t>ENJOY-60-15</t>
  </si>
  <si>
    <t>享食尚</t>
  </si>
  <si>
    <t>常溫滴雞精禮盒15入（60ml／入，官方直營）</t>
  </si>
  <si>
    <t>享食尚官方直營</t>
  </si>
  <si>
    <t>黑羽土雞滴取液</t>
  </si>
  <si>
    <t>0防腐劑、0脂肪、0膽固醇</t>
  </si>
  <si>
    <t>具產銷履歷黑羽土雞</t>
  </si>
  <si>
    <t>15則5星評價、官方直營、平台多盒組入口</t>
  </si>
  <si>
    <t>PCH-004</t>
  </si>
  <si>
    <t>NIANG-FROZEN-65-40</t>
  </si>
  <si>
    <t>娘家</t>
  </si>
  <si>
    <t>嚴選冷凍滴雞精65ml×40入</t>
  </si>
  <si>
    <t>零脂肪、零膽固醇</t>
  </si>
  <si>
    <t>18種胺基酸</t>
  </si>
  <si>
    <t>16則5星評價、40入家庭組、7月登記送活動</t>
  </si>
  <si>
    <t>PCH-005</t>
  </si>
  <si>
    <t>NIANG-FROZEN-65-20</t>
  </si>
  <si>
    <t>嚴選冷凍滴雞精65ml×20入</t>
  </si>
  <si>
    <t>23則評價、20入主力盒、平台限時價格</t>
  </si>
  <si>
    <t>PCH-006</t>
  </si>
  <si>
    <t>TQ-ORIG-FROZEN-60-40</t>
  </si>
  <si>
    <t>田原香</t>
  </si>
  <si>
    <t>冷凍原味滴雞精20入×2盒（60ml／入）</t>
  </si>
  <si>
    <t>多重濾油</t>
  </si>
  <si>
    <t>13則5星評價、健字號、兩盒主力組</t>
  </si>
  <si>
    <t>PCH-007</t>
  </si>
  <si>
    <t>PURE-ORIG-60-30</t>
  </si>
  <si>
    <t>純煉</t>
  </si>
  <si>
    <t>原味滴雞精60ml×10包×3盒（共30包）</t>
  </si>
  <si>
    <t>每億天益生菌1盒</t>
  </si>
  <si>
    <t>30包／盒</t>
  </si>
  <si>
    <t>純煉指定品滿3,000元，限量</t>
  </si>
  <si>
    <t>台灣自然雞（爽健雞）</t>
  </si>
  <si>
    <t>全程養殖不用藥</t>
  </si>
  <si>
    <t>收受日起至少270日</t>
  </si>
  <si>
    <t>59則5星評價、滿額贈、三盒主力組</t>
  </si>
  <si>
    <t>YAH-001</t>
  </si>
  <si>
    <t>WOF-PURE-65-33</t>
  </si>
  <si>
    <t>臻純粹滴雞精30入＋贈3包不挑款（環保包）</t>
  </si>
  <si>
    <t>Yahoo自營</t>
  </si>
  <si>
    <t>環保包</t>
  </si>
  <si>
    <t>滴雞精3包；另任選脆皮雞肉捲或鹹水雞</t>
  </si>
  <si>
    <t>滴雞精65ml／包；食品贈品規格依頁面</t>
  </si>
  <si>
    <t>商品加贈3包；食品贈品任選1件；券需點換</t>
  </si>
  <si>
    <t>膠原蛋白、小分子胺基酸</t>
  </si>
  <si>
    <t>品牌熱銷TOP1、9折、加贈3包、Yahoo自營</t>
  </si>
  <si>
    <t>150元點換券屬條件價；非同類食品贈品不折價。</t>
  </si>
  <si>
    <t>YAH-002</t>
  </si>
  <si>
    <t>WOF-PURE-65-10</t>
  </si>
  <si>
    <t>臻純粹滴雞精10入禮盒（六種口味任選）</t>
  </si>
  <si>
    <t>原味／紅棗枸杞／黑芝麻當歸／茯苓旱蓮草／牛蒡蒜頭／酸棗仁蓮子</t>
  </si>
  <si>
    <t>CITY CAFE中杯美式（登記送）</t>
  </si>
  <si>
    <t>飲品1杯</t>
  </si>
  <si>
    <t>7/13-7/19消費後登記；券另需點換</t>
  </si>
  <si>
    <t>依口味不同</t>
  </si>
  <si>
    <t>依口味含紅棗、枸杞、黑芝麻、當歸、茯苓、旱蓮草、牛蒡、蒜頭、酸棗仁或蓮子</t>
  </si>
  <si>
    <t>品牌熱銷TOP2、六種口味、Yahoo自營</t>
  </si>
  <si>
    <t>YAH-003</t>
  </si>
  <si>
    <t>TQ-4SHEN-60-20</t>
  </si>
  <si>
    <t>四神滴雞精20入（60ml／入，冷凍）</t>
  </si>
  <si>
    <t>機能型冷凍滴雞精</t>
  </si>
  <si>
    <t>四神</t>
  </si>
  <si>
    <t>雞精、四神配方</t>
  </si>
  <si>
    <t>四神配方</t>
  </si>
  <si>
    <t>搜尋前段、Yahoo自營、150元點換券</t>
  </si>
  <si>
    <t>SHP-001</t>
  </si>
  <si>
    <t>DACHAN-SLOW-50-14</t>
  </si>
  <si>
    <t>大成</t>
  </si>
  <si>
    <t>慢熬常溫雞精50ml／7包／盒雙盒組＋美心皇家保鮮盒</t>
  </si>
  <si>
    <t>大成食品官方旗艦館</t>
  </si>
  <si>
    <t>美心皇家保鮮盒</t>
  </si>
  <si>
    <t>雙盒指定選項；頁面另顯示低消899折60</t>
  </si>
  <si>
    <t>收受日起至少90日</t>
  </si>
  <si>
    <t>蝦皮商城官方旗艦館、7.2折、限量贈品</t>
  </si>
  <si>
    <t>頁面顯示3個商品選項與659–1,259元區間，未操作選項前無法確認雙盒組確切售價；659元不納入主要比較。</t>
  </si>
  <si>
    <t>SHP-002</t>
  </si>
  <si>
    <t>熬雞精14入（常溫／健字號）官方直營</t>
  </si>
  <si>
    <t>老協珍官方旗艦店</t>
  </si>
  <si>
    <t>滿額贈（內容未於文字區展開）</t>
  </si>
  <si>
    <t>依商品頁滿額門檻</t>
  </si>
  <si>
    <t>健字號</t>
  </si>
  <si>
    <t>蝦皮商城、官方旗艦店、7.5折、滿額贈</t>
  </si>
  <si>
    <t>SHP-003</t>
  </si>
  <si>
    <t>蝦皮直營熬雞精14入（原味／暖薑／紅棗枸杞）</t>
  </si>
  <si>
    <t>原味／暖薑／紅棗枸杞</t>
  </si>
  <si>
    <t>蝦皮直營生活超市</t>
  </si>
  <si>
    <t>直營</t>
  </si>
  <si>
    <t>依口味；文字區未完整揭露</t>
  </si>
  <si>
    <t>蝦皮直營、頁面顯示券後價與次日開始活動</t>
  </si>
  <si>
    <t>1,510元為7/15起、低消1,399元折170元的券後條件價；調查日尚未開始，不作公開價比較。</t>
  </si>
  <si>
    <t>SHP-004</t>
  </si>
  <si>
    <t>BRANDS-COLL-42-9</t>
  </si>
  <si>
    <t>白蘭氏</t>
  </si>
  <si>
    <t>萃雞精膠原蛋白菁萃42ml×9入禮盒</t>
  </si>
  <si>
    <t>機能型雞精</t>
  </si>
  <si>
    <t>膠原蛋白菁萃</t>
  </si>
  <si>
    <t>白蘭氏保健飲品官方旗艦店</t>
  </si>
  <si>
    <t>依旗艦店活動</t>
  </si>
  <si>
    <t>膠原蛋白</t>
  </si>
  <si>
    <t>官方旗艦店、8.3折、滿額贈、搜尋前段</t>
  </si>
  <si>
    <t>CST-001</t>
  </si>
  <si>
    <t>STONE-65-16</t>
  </si>
  <si>
    <t>石安牧場</t>
  </si>
  <si>
    <t>石安滴雞精65ml×16包</t>
  </si>
  <si>
    <t>Costco</t>
  </si>
  <si>
    <t>含運</t>
  </si>
  <si>
    <t>100%石安牧場動福雞</t>
  </si>
  <si>
    <t>不加水及任何添加物；零脂肪、零膽固醇</t>
  </si>
  <si>
    <t>支鏈胺基酸486mg／包</t>
  </si>
  <si>
    <t>20個月動福老母雞</t>
  </si>
  <si>
    <t>Costco分類頁前段、469則評價、速配商品</t>
  </si>
  <si>
    <t>CST-002</t>
  </si>
  <si>
    <t>LXZ-FROZEN-68-30</t>
  </si>
  <si>
    <t>冷凍熬雞精68ml×30入</t>
  </si>
  <si>
    <t>冷凍熬雞精</t>
  </si>
  <si>
    <t>老母雞、豬肉（台灣）</t>
  </si>
  <si>
    <t>12個月大老母雞</t>
  </si>
  <si>
    <t>Costco分類前段、1,335則評價、30入主力組</t>
  </si>
  <si>
    <t>CST-003</t>
  </si>
  <si>
    <t>LXZ-FROZEN-68-50</t>
  </si>
  <si>
    <t>冷凍熬雞精68ml×50入（線上獨家）</t>
  </si>
  <si>
    <t>Costco線上獨家、50入家庭組、分類頁前段</t>
  </si>
  <si>
    <t>CST-004</t>
  </si>
  <si>
    <t>DACHAN-FROZEN-100-30</t>
  </si>
  <si>
    <t>冷凍醇粹雞精100ml×30入（線上獨家）</t>
  </si>
  <si>
    <t>冷凍雞精</t>
  </si>
  <si>
    <t>熟齡母雞，100%全雞</t>
  </si>
  <si>
    <t>收受日起至少120日</t>
  </si>
  <si>
    <t>冷凍；解凍後勿再冷凍</t>
  </si>
  <si>
    <t>Costco線上獨家、30入大容量組</t>
  </si>
  <si>
    <t>CST-005</t>
  </si>
  <si>
    <t>BRANDS-CLASSIC-MIX32</t>
  </si>
  <si>
    <t>雞精68ml×30入＋41ml×2入</t>
  </si>
  <si>
    <t>傳統雞精</t>
  </si>
  <si>
    <t>白蘭氏雞精41ml</t>
  </si>
  <si>
    <t>41ml／瓶</t>
  </si>
  <si>
    <t>組合內含</t>
  </si>
  <si>
    <t>零膽固醇、零脂肪、不添加防腐劑</t>
  </si>
  <si>
    <t>抗疲勞、免疫調節雙認證</t>
  </si>
  <si>
    <t>Costco分類前段、國家雙認證、加量組</t>
  </si>
  <si>
    <t>每包容量欄以總容量2,122ml／32瓶的加權平均66.3125ml呈現；原規格為68ml×30＋41ml×2。</t>
  </si>
  <si>
    <t>ETM-001</t>
  </si>
  <si>
    <t>ENJOY-COLL-45-52</t>
  </si>
  <si>
    <t>5200mg膠原滴雞精45ml×10包×5盒＋贈2包</t>
  </si>
  <si>
    <t>機能型常溫滴雞精</t>
  </si>
  <si>
    <t>膠原配方</t>
  </si>
  <si>
    <t>東森購物</t>
  </si>
  <si>
    <t>享食尚滴雞精</t>
  </si>
  <si>
    <t>45ml／包</t>
  </si>
  <si>
    <t>東森商品頁主打、同款加贈、主持人代言</t>
  </si>
  <si>
    <t>商品詳細頁可讀取主商品與贈品，但價格區為動態內容；5,480元僅在平台搜尋結果頁顯示，不納入主要比較。</t>
  </si>
  <si>
    <t>ETM-002</t>
  </si>
  <si>
    <t>ENJOY-60-30</t>
  </si>
  <si>
    <t>滴雞精大容量禮盒60ml×15入×2盒</t>
  </si>
  <si>
    <t>0膽固醇、0油脂、0防腐劑</t>
  </si>
  <si>
    <t>18種胺基酸、高濃度膠原蛋白</t>
  </si>
  <si>
    <t>東森滴雞精專區主打、大容量禮盒</t>
  </si>
  <si>
    <t>頁面詳細區可讀取規格與特色，價格區動態載入；4,896元取自平台結果頁，僅供待確認。</t>
  </si>
  <si>
    <t>ETM-003</t>
  </si>
  <si>
    <t>QINYI-65-20</t>
  </si>
  <si>
    <t>幸福滴雞精20入</t>
  </si>
  <si>
    <t>18個月熟齡老母雞</t>
  </si>
  <si>
    <t>官方直售、東森平台商品頁、品牌主力20入</t>
  </si>
  <si>
    <t>商品詳細區未顯示即時價格；3,180元取自平台結果頁，不納入主要比較。</t>
  </si>
  <si>
    <t>BOOK-001</t>
  </si>
  <si>
    <t>娘家冷凍滴雞精20入</t>
  </si>
  <si>
    <t>博客來</t>
  </si>
  <si>
    <t>博客來雞精分類商品、近期優惠頁</t>
  </si>
  <si>
    <t>D</t>
  </si>
  <si>
    <t>商品頁於瀏覽器工具回傳內部錯誤；2,952元優惠已於7/12結束，調查日價格待人工確認。</t>
  </si>
  <si>
    <t>BOOK-002</t>
  </si>
  <si>
    <t>NIANG-AMBIENT-50-16</t>
  </si>
  <si>
    <t>娘家常溫滴雞精16包（50ml／包）</t>
  </si>
  <si>
    <t>商品頁於瀏覽器工具回傳內部錯誤；2,412元優惠已於7/12結束，調查日價格待人工確認。</t>
  </si>
  <si>
    <t>OFF-001</t>
  </si>
  <si>
    <t>TQ-COMBO-60-40</t>
  </si>
  <si>
    <t>原味Plus＋原味滴雞精冷凍組（60ml×20包×2盒）</t>
  </si>
  <si>
    <t>原味Plus＋原味</t>
  </si>
  <si>
    <t>田原香官網</t>
  </si>
  <si>
    <t>20入限定冷凍超取免運；其他配送依官網</t>
  </si>
  <si>
    <t>雞精；Plus配方詳情需進商品頁確認</t>
  </si>
  <si>
    <t>官網本月精選優惠組合、首頁直接主推</t>
  </si>
  <si>
    <t>OFF-002</t>
  </si>
  <si>
    <t>TQ-COUGH-60-20</t>
  </si>
  <si>
    <t>嗽nice滴雞精冷凍20入（60ml／包）</t>
  </si>
  <si>
    <t>嗽nice</t>
  </si>
  <si>
    <t>20入冷凍超取免運</t>
  </si>
  <si>
    <t>頁面未展開完整配方</t>
  </si>
  <si>
    <t>官網主打體內環保、促進新陳代謝</t>
  </si>
  <si>
    <t>7月官網主打星、現折200元</t>
  </si>
  <si>
    <t>OFF-003</t>
  </si>
  <si>
    <t>TQ-STUDENT-60-20</t>
  </si>
  <si>
    <t>學霸滴雞精冷凍20入（60ml／包）</t>
  </si>
  <si>
    <t>學霸</t>
  </si>
  <si>
    <t>學齡兒童／考生</t>
  </si>
  <si>
    <t>官網主打專注力、學習力</t>
  </si>
  <si>
    <t>7月官網主打星、首頁主推</t>
  </si>
  <si>
    <t>基礎商品名稱</t>
  </si>
  <si>
    <t>統一規格</t>
  </si>
  <si>
    <t>公開價格</t>
  </si>
  <si>
    <t>贈品摘要</t>
  </si>
  <si>
    <t>優惠條件</t>
  </si>
  <si>
    <t>跨平台最低價</t>
  </si>
  <si>
    <t>是否為該商品最低價</t>
  </si>
  <si>
    <t>老協珍原味熬雞精</t>
  </si>
  <si>
    <t>42ml×14入</t>
  </si>
  <si>
    <t>42ml×28入</t>
  </si>
  <si>
    <t>美顏飲1入；亮晶精6入×7</t>
  </si>
  <si>
    <t>娘家嚴選冷凍滴雞精</t>
  </si>
  <si>
    <t>65ml×20入</t>
  </si>
  <si>
    <t>商品名稱</t>
  </si>
  <si>
    <t>售價</t>
  </si>
  <si>
    <t>單位價格</t>
  </si>
  <si>
    <t>促銷方式</t>
  </si>
  <si>
    <t>贈品</t>
  </si>
  <si>
    <t>主打判定依據</t>
  </si>
  <si>
    <t>來源網址</t>
  </si>
  <si>
    <t>活動價、加贈／滿額贈</t>
  </si>
  <si>
    <t>活動價、訂閱價</t>
  </si>
  <si>
    <t>活動價、訂閱價、加贈／滿額贈</t>
  </si>
  <si>
    <t>活動價、折價券、加贈／滿額贈</t>
  </si>
  <si>
    <t>活動價、折價券</t>
  </si>
  <si>
    <t>加贈／滿額贈</t>
  </si>
  <si>
    <t>促銷形式</t>
  </si>
  <si>
    <t>折扣幅度</t>
  </si>
  <si>
    <t>贈品種類</t>
  </si>
  <si>
    <t>取得門檻</t>
  </si>
  <si>
    <t>需要會員</t>
  </si>
  <si>
    <t>需要優惠券</t>
  </si>
  <si>
    <t>限制付款方式</t>
  </si>
  <si>
    <t>優惠期限</t>
  </si>
  <si>
    <t>公開折扣＋贈品</t>
  </si>
  <si>
    <t>公開折扣</t>
  </si>
  <si>
    <t>公開折扣＋訂閱</t>
  </si>
  <si>
    <t>公開折扣＋訂閱＋贈品</t>
  </si>
  <si>
    <t>公開折扣＋折價券＋贈品</t>
  </si>
  <si>
    <t>公開折扣＋折價券</t>
  </si>
  <si>
    <t>折價券</t>
  </si>
  <si>
    <t>一般售價</t>
  </si>
  <si>
    <t>搜尋日期</t>
  </si>
  <si>
    <t>使用關鍵字</t>
  </si>
  <si>
    <t>頁面名稱</t>
  </si>
  <si>
    <t>網址</t>
  </si>
  <si>
    <t>頁面類型</t>
  </si>
  <si>
    <t>是否採用</t>
  </si>
  <si>
    <t>未採用原因</t>
  </si>
  <si>
    <t>資料擷取狀態</t>
  </si>
  <si>
    <t>site:momoshop.com.tw 雞精 滴雞精 年中慶 2026</t>
  </si>
  <si>
    <t>滴雞精分類頁</t>
  </si>
  <si>
    <t>分類頁</t>
  </si>
  <si>
    <t>可讀取</t>
  </si>
  <si>
    <t>分類前段辨認主打商品</t>
  </si>
  <si>
    <t>momo 老協珍 熬雞精 14入 2026</t>
  </si>
  <si>
    <t>老協珍熬雞精14入</t>
  </si>
  <si>
    <t>商品頁</t>
  </si>
  <si>
    <t>完整</t>
  </si>
  <si>
    <t>價格、規格、週期購</t>
  </si>
  <si>
    <t>momo 農純鄉 滴雞精 2026</t>
  </si>
  <si>
    <t>農純鄉常溫滴雞精</t>
  </si>
  <si>
    <t>會員條件分列</t>
  </si>
  <si>
    <t>site:24h.pchome.com.tw 滴雞精 優惠 2026</t>
  </si>
  <si>
    <t>純煉原味滴雞精30包</t>
  </si>
  <si>
    <t>含滿額贈</t>
  </si>
  <si>
    <t>PChome 娘家 冷凍滴雞精</t>
  </si>
  <si>
    <t>娘家冷凍滴雞精20／40入</t>
  </si>
  <si>
    <t>低溫配送</t>
  </si>
  <si>
    <t>site:tw.buy.yahoo.com 雞精 贈品</t>
  </si>
  <si>
    <t>一午一食品牌館</t>
  </si>
  <si>
    <t>品牌頁</t>
  </si>
  <si>
    <t>熱銷TOP排名</t>
  </si>
  <si>
    <t>Yahoo 田原香 四神滴雞精</t>
  </si>
  <si>
    <t>四神滴雞精20入</t>
  </si>
  <si>
    <t>折價券分列</t>
  </si>
  <si>
    <t>site:shopee.tw 熬雞精 官方旗艦店</t>
  </si>
  <si>
    <t>老協珍官方旗艦店14入</t>
  </si>
  <si>
    <t>部分可讀</t>
  </si>
  <si>
    <t>贈品內容未展開</t>
  </si>
  <si>
    <t>site:shopee.tw 大成 慢熬雞精 雙盒</t>
  </si>
  <si>
    <t>大成慢熬雞精多選項頁</t>
  </si>
  <si>
    <t>價格待確認</t>
  </si>
  <si>
    <t>多選項區間價</t>
  </si>
  <si>
    <t>site:etmall.com.tw 雞精 滴雞精 2026</t>
  </si>
  <si>
    <t>享食尚膠原滴雞精</t>
  </si>
  <si>
    <t>規格與贈品可讀，價格區動態</t>
  </si>
  <si>
    <t>site:books.com.tw 雞精 滴雞精 優惠 2026</t>
  </si>
  <si>
    <t>讀取失敗</t>
  </si>
  <si>
    <t>瀏覽器工具回傳內部錯誤</t>
  </si>
  <si>
    <t>site:costco.com.tw 雞精 滴雞精 台灣</t>
  </si>
  <si>
    <t>雞精分類與商品頁</t>
  </si>
  <si>
    <t>含運價格與單位價</t>
  </si>
  <si>
    <t>Costco 石安滴雞精</t>
  </si>
  <si>
    <t>石安滴雞精65ml×16</t>
  </si>
  <si>
    <t>價格、配方、原料</t>
  </si>
  <si>
    <t>Costco 大成冷凍醇粹雞精</t>
  </si>
  <si>
    <t>大成冷凍醇粹雞精100ml×30</t>
  </si>
  <si>
    <t>線上獨家</t>
  </si>
  <si>
    <t>田原香 官方網站 7月 主打星 2026</t>
  </si>
  <si>
    <t>田原香官網首頁</t>
  </si>
  <si>
    <t>品牌首頁</t>
  </si>
  <si>
    <t>本月精選與7/31截止</t>
  </si>
  <si>
    <t>田原香 618 年中慶 2026</t>
  </si>
  <si>
    <t>田原香最新消息</t>
  </si>
  <si>
    <t>活動頁</t>
  </si>
  <si>
    <t>最近60天活動紀錄</t>
  </si>
  <si>
    <t>雞精 買一送一 滿額贈 加贈 2026 7月</t>
  </si>
  <si>
    <t>跨平台</t>
  </si>
  <si>
    <t>多平台活動頁</t>
  </si>
  <si>
    <t>搜尋結果</t>
  </si>
  <si>
    <t>無法逐一確認全部結帳條件</t>
  </si>
  <si>
    <t>完成</t>
  </si>
  <si>
    <t>僅作候選發現</t>
  </si>
  <si>
    <t>雞精 母親節 父親節 年中慶 2026</t>
  </si>
  <si>
    <t>節慶活動候選</t>
  </si>
  <si>
    <t>多數活動已結束</t>
  </si>
  <si>
    <t>保留搜尋紀錄，不採過期價</t>
  </si>
  <si>
    <t>商品</t>
  </si>
  <si>
    <t>缺漏欄位</t>
  </si>
  <si>
    <t>異常類型</t>
  </si>
  <si>
    <t>異常說明</t>
  </si>
  <si>
    <t>是否找到替代來源</t>
  </si>
  <si>
    <t>建議人工確認事項</t>
  </si>
  <si>
    <t>大成慢熬常溫雞精雙盒組</t>
  </si>
  <si>
    <t>雙盒組確切售價</t>
  </si>
  <si>
    <t>多選項價格</t>
  </si>
  <si>
    <t>頁面只顯示659–1,259元區間；最低價可能對應其他選項</t>
  </si>
  <si>
    <t>人工選擇雙盒組並進入購物車確認</t>
  </si>
  <si>
    <t>老協珍蝦皮直營14入</t>
  </si>
  <si>
    <t>調查日公開售價</t>
  </si>
  <si>
    <t>活動尚未開始</t>
  </si>
  <si>
    <t>1,510元券後活動自7/15開始，調查日為7/14</t>
  </si>
  <si>
    <t>7/15後重新確認券領取與最低消費</t>
  </si>
  <si>
    <t>享食尚膠原滴雞精50＋2包</t>
  </si>
  <si>
    <t>即時公開價格</t>
  </si>
  <si>
    <t>動態內容無法載入</t>
  </si>
  <si>
    <t>商品詳細與贈品可讀，價格只出現在平台結果頁</t>
  </si>
  <si>
    <t>以一般瀏覽器登入後確認</t>
  </si>
  <si>
    <t>享食尚60ml×30入</t>
  </si>
  <si>
    <t>頁面詳細可讀，價格區未在文字結果呈現</t>
  </si>
  <si>
    <t>進入商品頁或購物車確認</t>
  </si>
  <si>
    <t>勤億幸福滴雞精20入</t>
  </si>
  <si>
    <t>3,180元僅能由平台結果頁取得</t>
  </si>
  <si>
    <t>進入商品頁確認</t>
  </si>
  <si>
    <t>調查日價格與庫存</t>
  </si>
  <si>
    <t>頁面讀取失敗</t>
  </si>
  <si>
    <t>瀏覽器工具回傳內部錯誤；7/12優惠已過期</t>
  </si>
  <si>
    <t>人工開啟博客來頁面確認</t>
  </si>
  <si>
    <t>娘家常溫滴雞精16入</t>
  </si>
  <si>
    <t>一午一食好體質30＋3包</t>
  </si>
  <si>
    <t>保存型態</t>
  </si>
  <si>
    <t>頁面資料未完整</t>
  </si>
  <si>
    <t>配送欄顯示低溫，但文字區未明示常溫或冷凍</t>
  </si>
  <si>
    <t>人工查看商品圖片或包裝標示</t>
  </si>
  <si>
    <t>白蘭氏雞精30＋2瓶</t>
  </si>
  <si>
    <t>每瓶容量單一值</t>
  </si>
  <si>
    <t>混合規格</t>
  </si>
  <si>
    <t>主商品68ml×30，贈品41ml×2</t>
  </si>
  <si>
    <t>報表用總容量加權平均，並保留原始規格</t>
  </si>
  <si>
    <t>滿額贈內容</t>
  </si>
  <si>
    <t>動態內容未展開</t>
  </si>
  <si>
    <t>頁面標示滿額贈，但未顯示贈品名稱與門檻</t>
  </si>
  <si>
    <t>登入蝦皮並展開促銷說明</t>
  </si>
  <si>
    <t>多數平台信用卡回饋</t>
  </si>
  <si>
    <t>實際回饋後價格</t>
  </si>
  <si>
    <t>付款條件複雜</t>
  </si>
  <si>
    <t>需登錄、指定卡別、回饋上限或跨品類累積</t>
  </si>
  <si>
    <t>結帳前依個人卡別確認；未納入公開價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</si>
</sst>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yyyy\-mm\-dd"/>
    <numFmt numFmtId="178" formatCode="yyyy\-mm\-dd\ hh:mm"/>
  </numFmts>
  <fonts count="7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i/>
      <sz val="11"/>
      <color rgb="FF7A4D00"/>
      <name val="Carlito"/>
    </font>
    <font>
      <sz val="11"/>
      <color rgb="FF1F2937"/>
      <name val="Carlito"/>
    </font>
    <font>
      <sz val="11"/>
      <name val="Carlito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16324F"/>
      </patternFill>
    </fill>
    <fill>
      <patternFill patternType="solid">
        <fgColor rgb="FFFFF4CE"/>
      </patternFill>
    </fill>
  </fills>
  <borders count="9">
    <border>
      <left/>
      <right/>
      <top/>
      <bottom/>
      <diagonal/>
    </border>
    <border>
      <left style="thin">
        <color rgb="FFB8C4CE"/>
      </left>
      <right/>
      <top style="thin">
        <color rgb="FFB8C4CE"/>
      </top>
      <bottom/>
      <diagonal/>
    </border>
    <border>
      <left/>
      <right style="thin">
        <color rgb="FFB8C4CE"/>
      </right>
      <top style="thin">
        <color rgb="FFB8C4CE"/>
      </top>
      <bottom/>
      <diagonal/>
    </border>
    <border>
      <left style="thin">
        <color rgb="FFB8C4CE"/>
      </left>
      <right/>
      <top/>
      <bottom/>
      <diagonal/>
    </border>
    <border>
      <left/>
      <right style="thin">
        <color rgb="FFB8C4CE"/>
      </right>
      <top/>
      <bottom/>
      <diagonal/>
    </border>
    <border>
      <left style="thin">
        <color rgb="FFB8C4CE"/>
      </left>
      <right/>
      <top/>
      <bottom style="thin">
        <color rgb="FFB8C4CE"/>
      </bottom>
      <diagonal/>
    </border>
    <border>
      <left/>
      <right style="thin">
        <color rgb="FFB8C4CE"/>
      </right>
      <top/>
      <bottom style="thin">
        <color rgb="FFB8C4CE"/>
      </bottom>
      <diagonal/>
    </border>
    <border>
      <left/>
      <right/>
      <top style="thin">
        <color rgb="FFB8C4CE"/>
      </top>
      <bottom/>
      <diagonal/>
    </border>
    <border>
      <left/>
      <right/>
      <top/>
      <bottom style="thin">
        <color rgb="FFB8C4CE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2" borderId="0" xfId="1" applyFont="1" applyFill="1" applyAlignment="1">
      <alignment vertical="center" wrapText="1"/>
    </xf>
    <xf numFmtId="0" fontId="0" fillId="0" borderId="0" xfId="1" applyFont="1" applyAlignment="1">
      <alignment vertical="top" wrapText="1"/>
    </xf>
    <xf numFmtId="176" fontId="0" fillId="0" borderId="0" xfId="1" applyNumberFormat="1" applyFont="1" applyAlignment="1">
      <alignment vertical="top" wrapText="1"/>
    </xf>
    <xf numFmtId="2" fontId="0" fillId="0" borderId="0" xfId="1" applyNumberFormat="1" applyFont="1" applyAlignment="1">
      <alignment vertical="top" wrapText="1"/>
    </xf>
    <xf numFmtId="177" fontId="0" fillId="0" borderId="0" xfId="1" applyNumberFormat="1" applyFont="1" applyAlignment="1">
      <alignment vertical="top" wrapText="1"/>
    </xf>
    <xf numFmtId="178" fontId="0" fillId="0" borderId="0" xfId="1" applyNumberFormat="1" applyFont="1" applyAlignment="1">
      <alignment vertical="top" wrapText="1"/>
    </xf>
    <xf numFmtId="0" fontId="2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wrapText="1"/>
    </xf>
    <xf numFmtId="0" fontId="4" fillId="0" borderId="0" xfId="1" applyFont="1" applyAlignment="1">
      <alignment vertical="top" wrapText="1"/>
    </xf>
    <xf numFmtId="0" fontId="1" fillId="2" borderId="1" xfId="1" applyFont="1" applyFill="1" applyBorder="1" applyAlignment="1">
      <alignment vertical="center" wrapText="1"/>
    </xf>
    <xf numFmtId="0" fontId="1" fillId="2" borderId="2" xfId="1" applyFont="1" applyFill="1" applyBorder="1" applyAlignment="1">
      <alignment vertical="center" wrapText="1"/>
    </xf>
    <xf numFmtId="0" fontId="0" fillId="0" borderId="3" xfId="1" applyFont="1" applyBorder="1"/>
    <xf numFmtId="0" fontId="0" fillId="0" borderId="4" xfId="1" applyFont="1" applyBorder="1"/>
    <xf numFmtId="0" fontId="0" fillId="0" borderId="5" xfId="1" applyFont="1" applyBorder="1"/>
    <xf numFmtId="0" fontId="0" fillId="0" borderId="6" xfId="1" applyFont="1" applyBorder="1"/>
    <xf numFmtId="0" fontId="1" fillId="2" borderId="7" xfId="1" applyFont="1" applyFill="1" applyBorder="1" applyAlignment="1">
      <alignment vertical="center" wrapText="1"/>
    </xf>
    <xf numFmtId="0" fontId="0" fillId="0" borderId="8" xfId="1" applyFont="1" applyBorder="1"/>
    <xf numFmtId="0" fontId="4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/>
    </xf>
    <xf numFmtId="178" fontId="4" fillId="0" borderId="4" xfId="1" applyNumberFormat="1" applyFont="1" applyBorder="1" applyAlignment="1">
      <alignment vertical="top" wrapText="1"/>
    </xf>
    <xf numFmtId="0" fontId="4" fillId="0" borderId="5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</cellXfs>
  <cellStyles count="2">
    <cellStyle name="Normal" xfId="1" xr:uid="{00000000-0005-0000-0000-000000000000}"/>
    <cellStyle name="一般" xfId="0" builtinId="0"/>
  </cellStyles>
  <dxfs count="12">
    <dxf>
      <font>
        <b/>
        <color rgb="FFB42318"/>
      </font>
      <fill>
        <patternFill patternType="solid">
          <bgColor rgb="FFFDE7E9"/>
        </patternFill>
      </fill>
    </dxf>
    <dxf>
      <font>
        <b/>
        <color rgb="FF7A4D00"/>
      </font>
      <fill>
        <patternFill patternType="solid">
          <bgColor rgb="FFFFF4CE"/>
        </patternFill>
      </fill>
    </dxf>
    <dxf>
      <font>
        <b/>
        <color rgb="FFB42318"/>
      </font>
      <fill>
        <patternFill patternType="solid">
          <bgColor rgb="FFFDE7E9"/>
        </patternFill>
      </fill>
    </dxf>
    <dxf>
      <font>
        <b/>
        <color rgb="FF7A4D00"/>
      </font>
      <fill>
        <patternFill patternType="solid">
          <bgColor rgb="FFFFF4CE"/>
        </patternFill>
      </fill>
    </dxf>
    <dxf>
      <font>
        <b/>
        <color rgb="FF137333"/>
      </font>
      <fill>
        <patternFill patternType="solid">
          <bgColor rgb="FFE6F4EA"/>
        </patternFill>
      </fill>
    </dxf>
    <dxf>
      <font>
        <b/>
        <color rgb="FFB42318"/>
      </font>
      <fill>
        <patternFill patternType="solid">
          <bgColor rgb="FFFDE7E9"/>
        </patternFill>
      </fill>
    </dxf>
    <dxf>
      <font>
        <b/>
        <color rgb="FF137333"/>
      </font>
      <fill>
        <patternFill patternType="solid">
          <bgColor rgb="FFE6F4EA"/>
        </patternFill>
      </fill>
    </dxf>
    <dxf>
      <font>
        <b/>
        <color rgb="FFB42318"/>
      </font>
      <fill>
        <patternFill patternType="solid">
          <bgColor rgb="FFFDE7E9"/>
        </patternFill>
      </fill>
    </dxf>
    <dxf>
      <font>
        <b/>
        <color rgb="FFB42318"/>
      </font>
      <fill>
        <patternFill patternType="solid">
          <bgColor rgb="FFFDE7E9"/>
        </patternFill>
      </fill>
    </dxf>
    <dxf>
      <font>
        <b/>
        <color rgb="FFB42318"/>
      </font>
      <fill>
        <patternFill patternType="solid">
          <bgColor rgb="FFFDE7E9"/>
        </patternFill>
      </fill>
    </dxf>
    <dxf>
      <font>
        <b/>
        <color rgb="FF7A4D00"/>
      </font>
      <fill>
        <patternFill patternType="solid">
          <bgColor rgb="FFFFF4CE"/>
        </patternFill>
      </fill>
    </dxf>
    <dxf>
      <font>
        <b/>
        <color rgb="FF7A4D00"/>
      </font>
      <fill>
        <patternFill patternType="solid">
          <bgColor rgb="FFFFF4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DetailTable" displayName="ProductDetailTable" ref="A1:BJ35" totalsRowShown="0">
  <autoFilter ref="A1:BJ35" xr:uid="{00000000-0009-0000-0100-000001000000}"/>
  <tableColumns count="62">
    <tableColumn id="1" xr3:uid="{00000000-0010-0000-0000-000001000000}" name="商品識別碼"/>
    <tableColumn id="2" xr3:uid="{00000000-0010-0000-0000-000002000000}" name="比較鍵"/>
    <tableColumn id="3" xr3:uid="{00000000-0010-0000-0000-000003000000}" name="品牌"/>
    <tableColumn id="4" xr3:uid="{00000000-0010-0000-0000-000004000000}" name="完整商品名稱"/>
    <tableColumn id="5" xr3:uid="{00000000-0010-0000-0000-000005000000}" name="商品類型"/>
    <tableColumn id="6" xr3:uid="{00000000-0010-0000-0000-000006000000}" name="配方或口味"/>
    <tableColumn id="7" xr3:uid="{00000000-0010-0000-0000-000007000000}" name="適用族群"/>
    <tableColumn id="8" xr3:uid="{00000000-0010-0000-0000-000008000000}" name="機能型產品"/>
    <tableColumn id="9" xr3:uid="{00000000-0010-0000-0000-000009000000}" name="平台"/>
    <tableColumn id="10" xr3:uid="{00000000-0010-0000-0000-00000A000000}" name="店家"/>
    <tableColumn id="11" xr3:uid="{00000000-0010-0000-0000-00000B000000}" name="官方店家"/>
    <tableColumn id="12" xr3:uid="{00000000-0010-0000-0000-00000C000000}" name="商品網址"/>
    <tableColumn id="13" xr3:uid="{00000000-0010-0000-0000-00000D000000}" name="活動網址"/>
    <tableColumn id="14" xr3:uid="{00000000-0010-0000-0000-00000E000000}" name="每包容量ml"/>
    <tableColumn id="15" xr3:uid="{00000000-0010-0000-0000-00000F000000}" name="每盒入數"/>
    <tableColumn id="16" xr3:uid="{00000000-0010-0000-0000-000010000000}" name="盒數"/>
    <tableColumn id="17" xr3:uid="{00000000-0010-0000-0000-000011000000}" name="付費包數"/>
    <tableColumn id="18" xr3:uid="{00000000-0010-0000-0000-000012000000}" name="加贈包數"/>
    <tableColumn id="19" xr3:uid="{00000000-0010-0000-0000-000013000000}" name="實際取得總包數"/>
    <tableColumn id="20" xr3:uid="{00000000-0010-0000-0000-000014000000}" name="總容量ml"/>
    <tableColumn id="21" xr3:uid="{00000000-0010-0000-0000-000015000000}" name="包裝形式"/>
    <tableColumn id="22" xr3:uid="{00000000-0010-0000-0000-000016000000}" name="常溫或冷凍"/>
    <tableColumn id="23" xr3:uid="{00000000-0010-0000-0000-000017000000}" name="建議售價"/>
    <tableColumn id="24" xr3:uid="{00000000-0010-0000-0000-000018000000}" name="頁面原價"/>
    <tableColumn id="25" xr3:uid="{00000000-0010-0000-0000-000019000000}" name="公開售價"/>
    <tableColumn id="26" xr3:uid="{00000000-0010-0000-0000-00001A000000}" name="活動價"/>
    <tableColumn id="27" xr3:uid="{00000000-0010-0000-0000-00001B000000}" name="會員價"/>
    <tableColumn id="28" xr3:uid="{00000000-0010-0000-0000-00001C000000}" name="折價券後價格"/>
    <tableColumn id="29" xr3:uid="{00000000-0010-0000-0000-00001D000000}" name="信用卡或支付優惠後價"/>
    <tableColumn id="30" xr3:uid="{00000000-0010-0000-0000-00001E000000}" name="訂閱價格"/>
    <tableColumn id="31" xr3:uid="{00000000-0010-0000-0000-00001F000000}" name="條件式最低價"/>
    <tableColumn id="32" xr3:uid="{00000000-0010-0000-0000-000020000000}" name="運費"/>
    <tableColumn id="33" xr3:uid="{00000000-0010-0000-0000-000021000000}" name="是否免運"/>
    <tableColumn id="34" xr3:uid="{00000000-0010-0000-0000-000022000000}" name="公開售價每包價格"/>
    <tableColumn id="35" xr3:uid="{00000000-0010-0000-0000-000023000000}" name="含同款贈品後每包價格"/>
    <tableColumn id="36" xr3:uid="{00000000-0010-0000-0000-000024000000}" name="每100毫升價格"/>
    <tableColumn id="37" xr3:uid="{00000000-0010-0000-0000-000025000000}" name="每盒價格"/>
    <tableColumn id="38" xr3:uid="{00000000-0010-0000-0000-000026000000}" name="折扣率"/>
    <tableColumn id="39" xr3:uid="{00000000-0010-0000-0000-000027000000}" name="加贈比例"/>
    <tableColumn id="40" xr3:uid="{00000000-0010-0000-0000-000028000000}" name="贈品名稱"/>
    <tableColumn id="41" xr3:uid="{00000000-0010-0000-0000-000029000000}" name="贈品數量"/>
    <tableColumn id="42" xr3:uid="{00000000-0010-0000-0000-00002A000000}" name="贈品規格"/>
    <tableColumn id="43" xr3:uid="{00000000-0010-0000-0000-00002B000000}" name="贈品條件"/>
    <tableColumn id="44" xr3:uid="{00000000-0010-0000-0000-00002C000000}" name="主要成分"/>
    <tableColumn id="45" xr3:uid="{00000000-0010-0000-0000-00002D000000}" name="無添加標示"/>
    <tableColumn id="46" xr3:uid="{00000000-0010-0000-0000-00002E000000}" name="是否含糖"/>
    <tableColumn id="47" xr3:uid="{00000000-0010-0000-0000-00002F000000}" name="鈉資訊"/>
    <tableColumn id="48" xr3:uid="{00000000-0010-0000-0000-000030000000}" name="中藥材／草本／膠原等機能成分"/>
    <tableColumn id="49" xr3:uid="{00000000-0010-0000-0000-000031000000}" name="雞隻品種或原料來源"/>
    <tableColumn id="50" xr3:uid="{00000000-0010-0000-0000-000032000000}" name="原產地"/>
    <tableColumn id="51" xr3:uid="{00000000-0010-0000-0000-000033000000}" name="保存期限"/>
    <tableColumn id="52" xr3:uid="{00000000-0010-0000-0000-000034000000}" name="保存方式"/>
    <tableColumn id="53" xr3:uid="{00000000-0010-0000-0000-000035000000}" name="優惠開始日期"/>
    <tableColumn id="54" xr3:uid="{00000000-0010-0000-0000-000036000000}" name="優惠結束日期"/>
    <tableColumn id="55" xr3:uid="{00000000-0010-0000-0000-000037000000}" name="入選依據"/>
    <tableColumn id="56" xr3:uid="{00000000-0010-0000-0000-000038000000}" name="查詢日期與時間"/>
    <tableColumn id="57" xr3:uid="{00000000-0010-0000-0000-000039000000}" name="資料完整度"/>
    <tableColumn id="58" xr3:uid="{00000000-0010-0000-0000-00003A000000}" name="備註"/>
    <tableColumn id="59" xr3:uid="{00000000-0010-0000-0000-00003B000000}" name="跨平台最低單位價"/>
    <tableColumn id="60" xr3:uid="{00000000-0010-0000-0000-00003C000000}" name="與最低價差額"/>
    <tableColumn id="61" xr3:uid="{00000000-0010-0000-0000-00003D000000}" name="與最低價差異百分比"/>
    <tableColumn id="62" xr3:uid="{00000000-0010-0000-0000-00003E000000}" name="是否為最低價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rossPlatformTable" displayName="CrossPlatformTable" ref="A1:R8" totalsRowShown="0">
  <autoFilter ref="A1:R8" xr:uid="{00000000-0009-0000-0100-000002000000}"/>
  <tableColumns count="18">
    <tableColumn id="1" xr3:uid="{00000000-0010-0000-0100-000001000000}" name="品牌"/>
    <tableColumn id="2" xr3:uid="{00000000-0010-0000-0100-000002000000}" name="基礎商品名稱"/>
    <tableColumn id="3" xr3:uid="{00000000-0010-0000-0100-000003000000}" name="統一規格"/>
    <tableColumn id="4" xr3:uid="{00000000-0010-0000-0100-000004000000}" name="平台"/>
    <tableColumn id="5" xr3:uid="{00000000-0010-0000-0100-000005000000}" name="公開價格"/>
    <tableColumn id="6" xr3:uid="{00000000-0010-0000-0100-000006000000}" name="條件式最低價"/>
    <tableColumn id="7" xr3:uid="{00000000-0010-0000-0100-000007000000}" name="實際取得總包數"/>
    <tableColumn id="8" xr3:uid="{00000000-0010-0000-0100-000008000000}" name="含同款贈品後每包價格"/>
    <tableColumn id="9" xr3:uid="{00000000-0010-0000-0100-000009000000}" name="每100毫升價格"/>
    <tableColumn id="10" xr3:uid="{00000000-0010-0000-0100-00000A000000}" name="運費"/>
    <tableColumn id="11" xr3:uid="{00000000-0010-0000-0100-00000B000000}" name="贈品摘要"/>
    <tableColumn id="12" xr3:uid="{00000000-0010-0000-0100-00000C000000}" name="優惠條件"/>
    <tableColumn id="13" xr3:uid="{00000000-0010-0000-0100-00000D000000}" name="跨平台最低價"/>
    <tableColumn id="14" xr3:uid="{00000000-0010-0000-0100-00000E000000}" name="與最低價差額"/>
    <tableColumn id="15" xr3:uid="{00000000-0010-0000-0100-00000F000000}" name="與最低價差異百分比"/>
    <tableColumn id="16" xr3:uid="{00000000-0010-0000-0100-000010000000}" name="是否為該商品最低價"/>
    <tableColumn id="17" xr3:uid="{00000000-0010-0000-0100-000011000000}" name="比較鍵"/>
    <tableColumn id="18" xr3:uid="{00000000-0010-0000-0100-000012000000}" name="資料完整度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eaturedTable" displayName="FeaturedTable" ref="A1:J27" totalsRowShown="0">
  <autoFilter ref="A1:J27" xr:uid="{00000000-0009-0000-0100-000003000000}"/>
  <tableColumns count="10">
    <tableColumn id="1" xr3:uid="{00000000-0010-0000-0200-000001000000}" name="平台"/>
    <tableColumn id="2" xr3:uid="{00000000-0010-0000-0200-000002000000}" name="品牌"/>
    <tableColumn id="3" xr3:uid="{00000000-0010-0000-0200-000003000000}" name="商品名稱"/>
    <tableColumn id="4" xr3:uid="{00000000-0010-0000-0200-000004000000}" name="售價"/>
    <tableColumn id="5" xr3:uid="{00000000-0010-0000-0200-000005000000}" name="單位價格"/>
    <tableColumn id="6" xr3:uid="{00000000-0010-0000-0200-000006000000}" name="促銷方式"/>
    <tableColumn id="7" xr3:uid="{00000000-0010-0000-0200-000007000000}" name="贈品"/>
    <tableColumn id="8" xr3:uid="{00000000-0010-0000-0200-000008000000}" name="主打判定依據"/>
    <tableColumn id="9" xr3:uid="{00000000-0010-0000-0200-000009000000}" name="來源網址"/>
    <tableColumn id="10" xr3:uid="{00000000-0010-0000-0200-00000A000000}" name="資料完整度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omotionTable" displayName="PromotionTable" ref="A1:L35" totalsRowShown="0">
  <autoFilter ref="A1:L35" xr:uid="{00000000-0009-0000-0100-000004000000}"/>
  <tableColumns count="12">
    <tableColumn id="1" xr3:uid="{00000000-0010-0000-0300-000001000000}" name="品牌"/>
    <tableColumn id="2" xr3:uid="{00000000-0010-0000-0300-000002000000}" name="平台"/>
    <tableColumn id="3" xr3:uid="{00000000-0010-0000-0300-000003000000}" name="促銷形式"/>
    <tableColumn id="4" xr3:uid="{00000000-0010-0000-0300-000004000000}" name="折扣幅度"/>
    <tableColumn id="5" xr3:uid="{00000000-0010-0000-0300-000005000000}" name="加贈比例"/>
    <tableColumn id="6" xr3:uid="{00000000-0010-0000-0300-000006000000}" name="贈品種類"/>
    <tableColumn id="7" xr3:uid="{00000000-0010-0000-0300-000007000000}" name="取得門檻"/>
    <tableColumn id="8" xr3:uid="{00000000-0010-0000-0300-000008000000}" name="需要會員"/>
    <tableColumn id="9" xr3:uid="{00000000-0010-0000-0300-000009000000}" name="需要優惠券"/>
    <tableColumn id="10" xr3:uid="{00000000-0010-0000-0300-00000A000000}" name="限制付款方式"/>
    <tableColumn id="11" xr3:uid="{00000000-0010-0000-0300-00000B000000}" name="優惠期限"/>
    <tableColumn id="12" xr3:uid="{00000000-0010-0000-0300-00000C000000}" name="商品識別碼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SearchLogTable" displayName="SearchLogTable" ref="A1:J19" totalsRowShown="0">
  <autoFilter ref="A1:J19" xr:uid="{00000000-0009-0000-0100-000005000000}"/>
  <tableColumns count="10">
    <tableColumn id="1" xr3:uid="{00000000-0010-0000-0400-000001000000}" name="搜尋日期"/>
    <tableColumn id="2" xr3:uid="{00000000-0010-0000-0400-000002000000}" name="使用關鍵字"/>
    <tableColumn id="3" xr3:uid="{00000000-0010-0000-0400-000003000000}" name="平台"/>
    <tableColumn id="4" xr3:uid="{00000000-0010-0000-0400-000004000000}" name="頁面名稱"/>
    <tableColumn id="5" xr3:uid="{00000000-0010-0000-0400-000005000000}" name="網址"/>
    <tableColumn id="6" xr3:uid="{00000000-0010-0000-0400-000006000000}" name="頁面類型"/>
    <tableColumn id="7" xr3:uid="{00000000-0010-0000-0400-000007000000}" name="是否採用"/>
    <tableColumn id="8" xr3:uid="{00000000-0010-0000-0400-000008000000}" name="未採用原因"/>
    <tableColumn id="9" xr3:uid="{00000000-0010-0000-0400-000009000000}" name="資料擷取狀態"/>
    <tableColumn id="10" xr3:uid="{00000000-0010-0000-0400-00000A000000}" name="備註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IssueTable" displayName="IssueTable" ref="A1:G12" totalsRowShown="0">
  <autoFilter ref="A1:G12" xr:uid="{00000000-0009-0000-0100-000006000000}"/>
  <tableColumns count="7">
    <tableColumn id="1" xr3:uid="{00000000-0010-0000-0500-000001000000}" name="商品"/>
    <tableColumn id="2" xr3:uid="{00000000-0010-0000-0500-000002000000}" name="平台"/>
    <tableColumn id="3" xr3:uid="{00000000-0010-0000-0500-000003000000}" name="缺漏欄位"/>
    <tableColumn id="4" xr3:uid="{00000000-0010-0000-0500-000004000000}" name="異常類型"/>
    <tableColumn id="5" xr3:uid="{00000000-0010-0000-0500-000005000000}" name="異常說明"/>
    <tableColumn id="6" xr3:uid="{00000000-0010-0000-0500-000006000000}" name="是否找到替代來源"/>
    <tableColumn id="7" xr3:uid="{00000000-0010-0000-0500-000007000000}" name="建議人工確認事項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/>
  </sheetViews>
  <sheetFormatPr defaultRowHeight="14"/>
  <cols>
    <col min="1" max="1" width="20" customWidth="1"/>
    <col min="2" max="2" width="30" customWidth="1"/>
    <col min="3" max="3" width="26" customWidth="1"/>
    <col min="4" max="4" width="78" customWidth="1"/>
    <col min="5" max="8" width="12" customWidth="1"/>
  </cols>
  <sheetData>
    <row r="1" spans="1:8" ht="34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8" ht="72.5">
      <c r="A2" s="8" t="s">
        <v>1</v>
      </c>
      <c r="B2" s="8"/>
      <c r="C2" s="8"/>
      <c r="D2" s="8"/>
      <c r="E2" s="8"/>
      <c r="F2" s="8"/>
      <c r="G2" s="8"/>
      <c r="H2" s="8"/>
    </row>
    <row r="4" spans="1:8" ht="34" customHeight="1">
      <c r="A4" s="10" t="s">
        <v>2</v>
      </c>
      <c r="B4" s="11" t="s">
        <v>3</v>
      </c>
      <c r="D4" s="1" t="s">
        <v>4</v>
      </c>
      <c r="E4" s="1"/>
      <c r="F4" s="1"/>
      <c r="G4" s="1"/>
      <c r="H4" s="1"/>
    </row>
    <row r="5" spans="1:8" ht="58" customHeight="1">
      <c r="A5" s="18" t="s">
        <v>5</v>
      </c>
      <c r="B5" s="19" t="s">
        <v>6</v>
      </c>
      <c r="D5" s="9" t="s">
        <v>7</v>
      </c>
    </row>
    <row r="6" spans="1:8" ht="58" customHeight="1">
      <c r="A6" s="18" t="s">
        <v>8</v>
      </c>
      <c r="B6" s="20">
        <v>46217.770833333336</v>
      </c>
      <c r="D6" s="9" t="s">
        <v>9</v>
      </c>
    </row>
    <row r="7" spans="1:8" ht="58" customHeight="1">
      <c r="A7" s="18" t="s">
        <v>10</v>
      </c>
      <c r="B7" s="19">
        <v>8</v>
      </c>
      <c r="D7" s="9" t="s">
        <v>11</v>
      </c>
    </row>
    <row r="8" spans="1:8" ht="58" customHeight="1">
      <c r="A8" s="18" t="s">
        <v>12</v>
      </c>
      <c r="B8" s="19">
        <v>13</v>
      </c>
      <c r="D8" s="9" t="s">
        <v>13</v>
      </c>
    </row>
    <row r="9" spans="1:8" ht="58" customHeight="1">
      <c r="A9" s="18" t="s">
        <v>14</v>
      </c>
      <c r="B9" s="19">
        <v>30</v>
      </c>
      <c r="D9" s="9" t="s">
        <v>15</v>
      </c>
    </row>
    <row r="10" spans="1:8">
      <c r="A10" s="18" t="s">
        <v>16</v>
      </c>
      <c r="B10" s="19">
        <f>COUNTA(商品完整資料!A2:A35)</f>
        <v>34</v>
      </c>
    </row>
    <row r="11" spans="1:8">
      <c r="A11" s="18" t="s">
        <v>17</v>
      </c>
      <c r="B11" s="19">
        <f>COUNTIF(商品完整資料!AN2:AN35,"&lt;&gt;無")</f>
        <v>11</v>
      </c>
    </row>
    <row r="12" spans="1:8">
      <c r="A12" s="18" t="s">
        <v>18</v>
      </c>
      <c r="B12" s="19">
        <f>COUNTIF(商品完整資料!BE2:BE35,"A")+COUNTIF(商品完整資料!BE2:BE35,"B")</f>
        <v>25</v>
      </c>
    </row>
    <row r="13" spans="1:8" ht="42">
      <c r="A13" s="21" t="s">
        <v>19</v>
      </c>
      <c r="B13" s="22" t="s">
        <v>20</v>
      </c>
    </row>
    <row r="15" spans="1:8" ht="34" customHeight="1">
      <c r="A15" s="10" t="s">
        <v>21</v>
      </c>
      <c r="B15" s="16" t="s">
        <v>22</v>
      </c>
      <c r="C15" s="16" t="s">
        <v>23</v>
      </c>
      <c r="D15" s="11" t="s">
        <v>24</v>
      </c>
    </row>
    <row r="16" spans="1:8">
      <c r="A16" s="12" t="s">
        <v>25</v>
      </c>
      <c r="B16" t="e">
        <f ca="1">_xludf.MINIFS(商品完整資料!$AI$2:$AI$35,商品完整資料!$I$2:$I$35,A16,商品完整資料!$BE$2:$BE$35,"&lt;&gt;C",商品完整資料!$BE$2:$BE$35,"&lt;&gt;D")</f>
        <v>#NAME?</v>
      </c>
      <c r="C16" t="s">
        <v>26</v>
      </c>
      <c r="D16" s="13" t="s">
        <v>27</v>
      </c>
    </row>
    <row r="17" spans="1:4">
      <c r="A17" s="12" t="s">
        <v>28</v>
      </c>
      <c r="B17" t="e">
        <f ca="1">_xludf.MINIFS(商品完整資料!$AI$2:$AI$35,商品完整資料!$I$2:$I$35,A17,商品完整資料!$BE$2:$BE$35,"&lt;&gt;C",商品完整資料!$BE$2:$BE$35,"&lt;&gt;D")</f>
        <v>#NAME?</v>
      </c>
      <c r="C17" t="s">
        <v>29</v>
      </c>
      <c r="D17" s="13" t="s">
        <v>30</v>
      </c>
    </row>
    <row r="18" spans="1:4">
      <c r="A18" s="12" t="s">
        <v>31</v>
      </c>
      <c r="B18" t="e">
        <f ca="1">_xludf.MINIFS(商品完整資料!$AI$2:$AI$35,商品完整資料!$I$2:$I$35,A18,商品完整資料!$BE$2:$BE$35,"&lt;&gt;C",商品完整資料!$BE$2:$BE$35,"&lt;&gt;D")</f>
        <v>#NAME?</v>
      </c>
      <c r="C18" t="s">
        <v>26</v>
      </c>
      <c r="D18" s="13" t="s">
        <v>32</v>
      </c>
    </row>
    <row r="19" spans="1:4">
      <c r="A19" s="12" t="s">
        <v>33</v>
      </c>
      <c r="B19" t="e">
        <f ca="1">_xludf.MINIFS(商品完整資料!$AI$2:$AI$35,商品完整資料!$I$2:$I$35,A19,商品完整資料!$BE$2:$BE$35,"&lt;&gt;C",商品完整資料!$BE$2:$BE$35,"&lt;&gt;D")</f>
        <v>#NAME?</v>
      </c>
      <c r="C19" t="s">
        <v>34</v>
      </c>
      <c r="D19" s="13" t="s">
        <v>35</v>
      </c>
    </row>
    <row r="20" spans="1:4">
      <c r="A20" s="12" t="s">
        <v>36</v>
      </c>
      <c r="B20" t="e">
        <f ca="1">_xludf.MINIFS(商品完整資料!$AI$2:$AI$35,商品完整資料!$I$2:$I$35,A20,商品完整資料!$BE$2:$BE$35,"&lt;&gt;C",商品完整資料!$BE$2:$BE$35,"&lt;&gt;D")</f>
        <v>#NAME?</v>
      </c>
      <c r="C20" t="s">
        <v>37</v>
      </c>
      <c r="D20" s="13" t="s">
        <v>38</v>
      </c>
    </row>
    <row r="21" spans="1:4">
      <c r="A21" s="14" t="s">
        <v>39</v>
      </c>
      <c r="B21" s="17" t="e">
        <f ca="1">_xludf.MINIFS(商品完整資料!$AI$2:$AI$35,商品完整資料!$I$2:$I$35,A21,商品完整資料!$BE$2:$BE$35,"&lt;&gt;C",商品完整資料!$BE$2:$BE$35,"&lt;&gt;D")</f>
        <v>#NAME?</v>
      </c>
      <c r="C21" s="17" t="s">
        <v>40</v>
      </c>
      <c r="D21" s="15" t="s">
        <v>41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35"/>
  <sheetViews>
    <sheetView showGridLines="0" tabSelected="1" workbookViewId="0">
      <selection activeCell="A2" sqref="A2"/>
    </sheetView>
  </sheetViews>
  <sheetFormatPr defaultRowHeight="14"/>
  <cols>
    <col min="1" max="1" width="14" customWidth="1"/>
    <col min="2" max="2" width="24" customWidth="1"/>
    <col min="3" max="3" width="12" customWidth="1"/>
    <col min="4" max="4" width="42" customWidth="1"/>
    <col min="5" max="11" width="15" customWidth="1"/>
    <col min="12" max="13" width="14" customWidth="1"/>
    <col min="14" max="39" width="13" customWidth="1"/>
    <col min="40" max="43" width="22" customWidth="1"/>
    <col min="44" max="52" width="24" customWidth="1"/>
    <col min="53" max="54" width="13" customWidth="1"/>
    <col min="55" max="55" width="30" customWidth="1"/>
    <col min="56" max="62" width="16" customWidth="1"/>
  </cols>
  <sheetData>
    <row r="1" spans="1:62" ht="34" customHeigh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21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  <c r="O1" s="1" t="s">
        <v>55</v>
      </c>
      <c r="P1" s="1" t="s">
        <v>56</v>
      </c>
      <c r="Q1" s="1" t="s">
        <v>57</v>
      </c>
      <c r="R1" s="1" t="s">
        <v>58</v>
      </c>
      <c r="S1" s="1" t="s">
        <v>59</v>
      </c>
      <c r="T1" s="1" t="s">
        <v>60</v>
      </c>
      <c r="U1" s="1" t="s">
        <v>61</v>
      </c>
      <c r="V1" s="1" t="s">
        <v>62</v>
      </c>
      <c r="W1" s="1" t="s">
        <v>63</v>
      </c>
      <c r="X1" s="1" t="s">
        <v>64</v>
      </c>
      <c r="Y1" s="1" t="s">
        <v>65</v>
      </c>
      <c r="Z1" s="1" t="s">
        <v>66</v>
      </c>
      <c r="AA1" s="1" t="s">
        <v>67</v>
      </c>
      <c r="AB1" s="1" t="s">
        <v>68</v>
      </c>
      <c r="AC1" s="1" t="s">
        <v>69</v>
      </c>
      <c r="AD1" s="1" t="s">
        <v>70</v>
      </c>
      <c r="AE1" s="1" t="s">
        <v>71</v>
      </c>
      <c r="AF1" s="1" t="s">
        <v>72</v>
      </c>
      <c r="AG1" s="1" t="s">
        <v>73</v>
      </c>
      <c r="AH1" s="1" t="s">
        <v>74</v>
      </c>
      <c r="AI1" s="1" t="s">
        <v>75</v>
      </c>
      <c r="AJ1" s="1" t="s">
        <v>76</v>
      </c>
      <c r="AK1" s="1" t="s">
        <v>77</v>
      </c>
      <c r="AL1" s="1" t="s">
        <v>78</v>
      </c>
      <c r="AM1" s="1" t="s">
        <v>79</v>
      </c>
      <c r="AN1" s="1" t="s">
        <v>80</v>
      </c>
      <c r="AO1" s="1" t="s">
        <v>81</v>
      </c>
      <c r="AP1" s="1" t="s">
        <v>82</v>
      </c>
      <c r="AQ1" s="1" t="s">
        <v>83</v>
      </c>
      <c r="AR1" s="1" t="s">
        <v>84</v>
      </c>
      <c r="AS1" s="1" t="s">
        <v>85</v>
      </c>
      <c r="AT1" s="1" t="s">
        <v>86</v>
      </c>
      <c r="AU1" s="1" t="s">
        <v>87</v>
      </c>
      <c r="AV1" s="1" t="s">
        <v>88</v>
      </c>
      <c r="AW1" s="1" t="s">
        <v>89</v>
      </c>
      <c r="AX1" s="1" t="s">
        <v>90</v>
      </c>
      <c r="AY1" s="1" t="s">
        <v>91</v>
      </c>
      <c r="AZ1" s="1" t="s">
        <v>92</v>
      </c>
      <c r="BA1" s="1" t="s">
        <v>93</v>
      </c>
      <c r="BB1" s="1" t="s">
        <v>94</v>
      </c>
      <c r="BC1" s="1" t="s">
        <v>95</v>
      </c>
      <c r="BD1" s="1" t="s">
        <v>96</v>
      </c>
      <c r="BE1" s="1" t="s">
        <v>97</v>
      </c>
      <c r="BF1" s="1" t="s">
        <v>24</v>
      </c>
      <c r="BG1" s="1" t="s">
        <v>98</v>
      </c>
      <c r="BH1" s="1" t="s">
        <v>99</v>
      </c>
      <c r="BI1" s="1" t="s">
        <v>100</v>
      </c>
      <c r="BJ1" s="1" t="s">
        <v>101</v>
      </c>
    </row>
    <row r="2" spans="1:62" ht="42" customHeight="1">
      <c r="A2" s="2" t="s">
        <v>102</v>
      </c>
      <c r="B2" s="2" t="s">
        <v>103</v>
      </c>
      <c r="C2" s="2" t="s">
        <v>104</v>
      </c>
      <c r="D2" s="2" t="s">
        <v>105</v>
      </c>
      <c r="E2" s="2" t="s">
        <v>106</v>
      </c>
      <c r="F2" s="2" t="s">
        <v>107</v>
      </c>
      <c r="G2" s="2" t="s">
        <v>108</v>
      </c>
      <c r="H2" s="2" t="s">
        <v>109</v>
      </c>
      <c r="I2" s="2" t="s">
        <v>25</v>
      </c>
      <c r="J2" s="2" t="s">
        <v>104</v>
      </c>
      <c r="K2" s="2" t="s">
        <v>109</v>
      </c>
      <c r="L2" s="2" t="str">
        <f>HYPERLINK("https://www.momoshop.com.tw/product/6407780","開啟商品頁")</f>
        <v>開啟商品頁</v>
      </c>
      <c r="M2" s="2"/>
      <c r="N2" s="4">
        <v>65</v>
      </c>
      <c r="O2" s="4">
        <v>30</v>
      </c>
      <c r="P2" s="4">
        <v>1</v>
      </c>
      <c r="Q2" s="4">
        <v>30</v>
      </c>
      <c r="R2" s="4">
        <v>3</v>
      </c>
      <c r="S2" s="4">
        <v>33</v>
      </c>
      <c r="T2" s="4">
        <f t="shared" ref="T2:T35" si="0">IF(OR(N2="",S2=""),"",N2*S2)</f>
        <v>2145</v>
      </c>
      <c r="U2" s="2" t="s">
        <v>110</v>
      </c>
      <c r="V2" s="2" t="s">
        <v>111</v>
      </c>
      <c r="W2" s="2"/>
      <c r="X2" s="2">
        <v>5640</v>
      </c>
      <c r="Y2" s="2">
        <v>3136</v>
      </c>
      <c r="Z2" s="2">
        <v>3136</v>
      </c>
      <c r="AA2" s="2"/>
      <c r="AB2" s="2"/>
      <c r="AC2" s="2"/>
      <c r="AD2" s="2"/>
      <c r="AE2" s="2"/>
      <c r="AF2" s="2"/>
      <c r="AG2" s="2" t="s">
        <v>111</v>
      </c>
      <c r="AH2" s="2">
        <f t="shared" ref="AH2:AH35" si="1">IFERROR(Y2/Q2,"")</f>
        <v>104.53333333333333</v>
      </c>
      <c r="AI2" s="2">
        <f t="shared" ref="AI2:AI35" si="2">IFERROR(Y2/S2,"")</f>
        <v>95.030303030303031</v>
      </c>
      <c r="AJ2" s="2">
        <f t="shared" ref="AJ2:AJ35" si="3">IFERROR(Y2/T2*100,"")</f>
        <v>146.2004662004662</v>
      </c>
      <c r="AK2" s="2">
        <f t="shared" ref="AK2:AK35" si="4">IFERROR(Y2/P2,"")</f>
        <v>3136</v>
      </c>
      <c r="AL2" s="3">
        <f t="shared" ref="AL2:AL35" si="5">IFERROR(1-Y2/X2,"")</f>
        <v>0.44397163120567373</v>
      </c>
      <c r="AM2" s="3">
        <f t="shared" ref="AM2:AM35" si="6">IFERROR(R2/Q2,"")</f>
        <v>0.1</v>
      </c>
      <c r="AN2" s="2" t="s">
        <v>112</v>
      </c>
      <c r="AO2" s="2">
        <v>3</v>
      </c>
      <c r="AP2" s="2" t="s">
        <v>113</v>
      </c>
      <c r="AQ2" s="2" t="s">
        <v>114</v>
      </c>
      <c r="AR2" s="2" t="s">
        <v>115</v>
      </c>
      <c r="AS2" s="2" t="s">
        <v>111</v>
      </c>
      <c r="AT2" s="2" t="s">
        <v>111</v>
      </c>
      <c r="AU2" s="2" t="s">
        <v>111</v>
      </c>
      <c r="AV2" s="2" t="s">
        <v>107</v>
      </c>
      <c r="AW2" s="2" t="s">
        <v>111</v>
      </c>
      <c r="AX2" s="2" t="s">
        <v>116</v>
      </c>
      <c r="AY2" s="2" t="s">
        <v>111</v>
      </c>
      <c r="AZ2" s="2" t="s">
        <v>111</v>
      </c>
      <c r="BA2" s="5">
        <v>46204.5</v>
      </c>
      <c r="BB2" s="5">
        <v>46234.5</v>
      </c>
      <c r="BC2" s="2" t="s">
        <v>117</v>
      </c>
      <c r="BD2" s="6">
        <v>46217.770833333336</v>
      </c>
      <c r="BE2" s="2" t="s">
        <v>118</v>
      </c>
      <c r="BF2" s="2" t="s">
        <v>119</v>
      </c>
      <c r="BG2" s="2" t="str">
        <f t="shared" ref="BG2:BG35" ca="1" si="7">IF(OR(BE2="C",BE2="D"),"",IFERROR(_xludf.MINIFS($AI$2:$AI$35,$B$2:$B$35,B2,$BE$2:$BE$35,"&lt;&gt;C",$BE$2:$BE$35,"&lt;&gt;D"),""))</f>
        <v/>
      </c>
      <c r="BH2" s="2" t="str">
        <f t="shared" ref="BH2:BH35" ca="1" si="8">IF(OR(AI2="",BG2=""),"",AI2-BG2)</f>
        <v/>
      </c>
      <c r="BI2" s="3" t="str">
        <f t="shared" ref="BI2:BI35" ca="1" si="9">IFERROR(BH2/BG2,"")</f>
        <v/>
      </c>
      <c r="BJ2" s="2" t="str">
        <f t="shared" ref="BJ2:BJ35" ca="1" si="10">IF(OR(AI2="",BG2=""),"不比較",IF(ABS(AI2-BG2)&lt;0.01,"最低價","非最低價"))</f>
        <v>不比較</v>
      </c>
    </row>
    <row r="3" spans="1:62" ht="42" customHeight="1">
      <c r="A3" s="2" t="s">
        <v>120</v>
      </c>
      <c r="B3" s="2" t="s">
        <v>121</v>
      </c>
      <c r="C3" s="2" t="s">
        <v>122</v>
      </c>
      <c r="D3" s="2" t="s">
        <v>123</v>
      </c>
      <c r="E3" s="2" t="s">
        <v>124</v>
      </c>
      <c r="F3" s="2" t="s">
        <v>125</v>
      </c>
      <c r="G3" s="2" t="s">
        <v>108</v>
      </c>
      <c r="H3" s="2" t="s">
        <v>126</v>
      </c>
      <c r="I3" s="2" t="s">
        <v>25</v>
      </c>
      <c r="J3" s="2" t="s">
        <v>122</v>
      </c>
      <c r="K3" s="2" t="s">
        <v>111</v>
      </c>
      <c r="L3" s="2" t="str">
        <f>HYPERLINK("https://www.momoshop.com.tw/product/6981069","開啟商品頁")</f>
        <v>開啟商品頁</v>
      </c>
      <c r="M3" s="2"/>
      <c r="N3" s="4">
        <v>65</v>
      </c>
      <c r="O3" s="4">
        <v>20</v>
      </c>
      <c r="P3" s="4">
        <v>1</v>
      </c>
      <c r="Q3" s="4">
        <v>20</v>
      </c>
      <c r="R3" s="4">
        <v>0</v>
      </c>
      <c r="S3" s="4">
        <v>20</v>
      </c>
      <c r="T3" s="4">
        <f t="shared" si="0"/>
        <v>1300</v>
      </c>
      <c r="U3" s="2" t="s">
        <v>110</v>
      </c>
      <c r="V3" s="2" t="s">
        <v>127</v>
      </c>
      <c r="W3" s="2"/>
      <c r="X3" s="2">
        <v>2650</v>
      </c>
      <c r="Y3" s="2">
        <v>2385</v>
      </c>
      <c r="Z3" s="2">
        <v>2385</v>
      </c>
      <c r="AA3" s="2"/>
      <c r="AB3" s="2"/>
      <c r="AC3" s="2"/>
      <c r="AD3" s="2"/>
      <c r="AE3" s="2"/>
      <c r="AF3" s="2">
        <v>0</v>
      </c>
      <c r="AG3" s="2" t="s">
        <v>111</v>
      </c>
      <c r="AH3" s="2">
        <f t="shared" si="1"/>
        <v>119.25</v>
      </c>
      <c r="AI3" s="2">
        <f t="shared" si="2"/>
        <v>119.25</v>
      </c>
      <c r="AJ3" s="2">
        <f t="shared" si="3"/>
        <v>183.46153846153845</v>
      </c>
      <c r="AK3" s="2">
        <f t="shared" si="4"/>
        <v>2385</v>
      </c>
      <c r="AL3" s="3">
        <f t="shared" si="5"/>
        <v>9.9999999999999978E-2</v>
      </c>
      <c r="AM3" s="3">
        <f t="shared" si="6"/>
        <v>0</v>
      </c>
      <c r="AN3" s="2" t="s">
        <v>128</v>
      </c>
      <c r="AO3" s="2">
        <v>0</v>
      </c>
      <c r="AP3" s="2" t="s">
        <v>128</v>
      </c>
      <c r="AQ3" s="2" t="s">
        <v>128</v>
      </c>
      <c r="AR3" s="2" t="s">
        <v>129</v>
      </c>
      <c r="AS3" s="2" t="s">
        <v>130</v>
      </c>
      <c r="AT3" s="2" t="s">
        <v>111</v>
      </c>
      <c r="AU3" s="2" t="s">
        <v>111</v>
      </c>
      <c r="AV3" s="2" t="s">
        <v>131</v>
      </c>
      <c r="AW3" s="2" t="s">
        <v>132</v>
      </c>
      <c r="AX3" s="2" t="s">
        <v>116</v>
      </c>
      <c r="AY3" s="2" t="s">
        <v>111</v>
      </c>
      <c r="AZ3" s="2" t="s">
        <v>133</v>
      </c>
      <c r="BA3" s="5"/>
      <c r="BB3" s="5"/>
      <c r="BC3" s="2" t="s">
        <v>134</v>
      </c>
      <c r="BD3" s="6">
        <v>46217.770833333336</v>
      </c>
      <c r="BE3" s="2" t="s">
        <v>118</v>
      </c>
      <c r="BF3" s="2"/>
      <c r="BG3" s="2" t="str">
        <f t="shared" ca="1" si="7"/>
        <v/>
      </c>
      <c r="BH3" s="2" t="str">
        <f t="shared" ca="1" si="8"/>
        <v/>
      </c>
      <c r="BI3" s="3" t="str">
        <f t="shared" ca="1" si="9"/>
        <v/>
      </c>
      <c r="BJ3" s="2" t="str">
        <f t="shared" ca="1" si="10"/>
        <v>不比較</v>
      </c>
    </row>
    <row r="4" spans="1:62" ht="42" customHeight="1">
      <c r="A4" s="2" t="s">
        <v>135</v>
      </c>
      <c r="B4" s="2" t="s">
        <v>136</v>
      </c>
      <c r="C4" s="2" t="s">
        <v>137</v>
      </c>
      <c r="D4" s="2" t="s">
        <v>138</v>
      </c>
      <c r="E4" s="2" t="s">
        <v>139</v>
      </c>
      <c r="F4" s="2" t="s">
        <v>125</v>
      </c>
      <c r="G4" s="2" t="s">
        <v>108</v>
      </c>
      <c r="H4" s="2" t="s">
        <v>126</v>
      </c>
      <c r="I4" s="2" t="s">
        <v>25</v>
      </c>
      <c r="J4" s="2" t="s">
        <v>137</v>
      </c>
      <c r="K4" s="2" t="s">
        <v>109</v>
      </c>
      <c r="L4" s="2" t="str">
        <f>HYPERLINK("https://www.momoshop.com.tw/product/5327922","開啟商品頁")</f>
        <v>開啟商品頁</v>
      </c>
      <c r="M4" s="2"/>
      <c r="N4" s="4">
        <v>42</v>
      </c>
      <c r="O4" s="4">
        <v>14</v>
      </c>
      <c r="P4" s="4">
        <v>1</v>
      </c>
      <c r="Q4" s="4">
        <v>14</v>
      </c>
      <c r="R4" s="4">
        <v>0</v>
      </c>
      <c r="S4" s="4">
        <v>14</v>
      </c>
      <c r="T4" s="4">
        <f t="shared" si="0"/>
        <v>588</v>
      </c>
      <c r="U4" s="2" t="s">
        <v>110</v>
      </c>
      <c r="V4" s="2" t="s">
        <v>140</v>
      </c>
      <c r="W4" s="2"/>
      <c r="X4" s="2">
        <v>2240</v>
      </c>
      <c r="Y4" s="2">
        <v>1680</v>
      </c>
      <c r="Z4" s="2">
        <v>1680</v>
      </c>
      <c r="AA4" s="2"/>
      <c r="AB4" s="2"/>
      <c r="AC4" s="2"/>
      <c r="AD4" s="2">
        <v>1596</v>
      </c>
      <c r="AE4" s="2"/>
      <c r="AF4" s="2">
        <v>0</v>
      </c>
      <c r="AG4" s="2" t="s">
        <v>141</v>
      </c>
      <c r="AH4" s="2">
        <f t="shared" si="1"/>
        <v>120</v>
      </c>
      <c r="AI4" s="2">
        <f t="shared" si="2"/>
        <v>120</v>
      </c>
      <c r="AJ4" s="2">
        <f t="shared" si="3"/>
        <v>285.71428571428572</v>
      </c>
      <c r="AK4" s="2">
        <f t="shared" si="4"/>
        <v>1680</v>
      </c>
      <c r="AL4" s="3">
        <f t="shared" si="5"/>
        <v>0.25</v>
      </c>
      <c r="AM4" s="3">
        <f t="shared" si="6"/>
        <v>0</v>
      </c>
      <c r="AN4" s="2" t="s">
        <v>128</v>
      </c>
      <c r="AO4" s="2">
        <v>0</v>
      </c>
      <c r="AP4" s="2" t="s">
        <v>128</v>
      </c>
      <c r="AQ4" s="2" t="s">
        <v>128</v>
      </c>
      <c r="AR4" s="2" t="s">
        <v>142</v>
      </c>
      <c r="AS4" s="2" t="s">
        <v>111</v>
      </c>
      <c r="AT4" s="2" t="s">
        <v>111</v>
      </c>
      <c r="AU4" s="2" t="s">
        <v>111</v>
      </c>
      <c r="AV4" s="2" t="s">
        <v>143</v>
      </c>
      <c r="AW4" s="2" t="s">
        <v>144</v>
      </c>
      <c r="AX4" s="2" t="s">
        <v>116</v>
      </c>
      <c r="AY4" s="2" t="s">
        <v>145</v>
      </c>
      <c r="AZ4" s="2" t="s">
        <v>146</v>
      </c>
      <c r="BA4" s="5"/>
      <c r="BB4" s="5"/>
      <c r="BC4" s="2" t="s">
        <v>147</v>
      </c>
      <c r="BD4" s="6">
        <v>46217.770833333336</v>
      </c>
      <c r="BE4" s="2" t="s">
        <v>148</v>
      </c>
      <c r="BF4" s="2" t="s">
        <v>149</v>
      </c>
      <c r="BG4" s="2" t="str">
        <f t="shared" ca="1" si="7"/>
        <v/>
      </c>
      <c r="BH4" s="2" t="str">
        <f t="shared" ca="1" si="8"/>
        <v/>
      </c>
      <c r="BI4" s="3" t="str">
        <f t="shared" ca="1" si="9"/>
        <v/>
      </c>
      <c r="BJ4" s="2" t="str">
        <f t="shared" ca="1" si="10"/>
        <v>不比較</v>
      </c>
    </row>
    <row r="5" spans="1:62" ht="42" customHeight="1">
      <c r="A5" s="2" t="s">
        <v>150</v>
      </c>
      <c r="B5" s="2" t="s">
        <v>151</v>
      </c>
      <c r="C5" s="2" t="s">
        <v>137</v>
      </c>
      <c r="D5" s="2" t="s">
        <v>152</v>
      </c>
      <c r="E5" s="2" t="s">
        <v>139</v>
      </c>
      <c r="F5" s="2" t="s">
        <v>125</v>
      </c>
      <c r="G5" s="2" t="s">
        <v>108</v>
      </c>
      <c r="H5" s="2" t="s">
        <v>126</v>
      </c>
      <c r="I5" s="2" t="s">
        <v>25</v>
      </c>
      <c r="J5" s="2" t="s">
        <v>137</v>
      </c>
      <c r="K5" s="2" t="s">
        <v>109</v>
      </c>
      <c r="L5" s="2" t="str">
        <f>HYPERLINK("https://www.momoshop.com.tw/product/5348265","開啟商品頁")</f>
        <v>開啟商品頁</v>
      </c>
      <c r="M5" s="2"/>
      <c r="N5" s="4">
        <v>42</v>
      </c>
      <c r="O5" s="4">
        <v>14</v>
      </c>
      <c r="P5" s="4">
        <v>2</v>
      </c>
      <c r="Q5" s="4">
        <v>28</v>
      </c>
      <c r="R5" s="4">
        <v>0</v>
      </c>
      <c r="S5" s="4">
        <v>28</v>
      </c>
      <c r="T5" s="4">
        <f t="shared" si="0"/>
        <v>1176</v>
      </c>
      <c r="U5" s="2" t="s">
        <v>110</v>
      </c>
      <c r="V5" s="2" t="s">
        <v>140</v>
      </c>
      <c r="W5" s="2"/>
      <c r="X5" s="2">
        <v>4480</v>
      </c>
      <c r="Y5" s="2">
        <v>3080</v>
      </c>
      <c r="Z5" s="2">
        <v>3080</v>
      </c>
      <c r="AA5" s="2"/>
      <c r="AB5" s="2"/>
      <c r="AC5" s="2"/>
      <c r="AD5" s="2"/>
      <c r="AE5" s="2"/>
      <c r="AF5" s="2">
        <v>0</v>
      </c>
      <c r="AG5" s="2" t="s">
        <v>109</v>
      </c>
      <c r="AH5" s="2">
        <f t="shared" si="1"/>
        <v>110</v>
      </c>
      <c r="AI5" s="2">
        <f t="shared" si="2"/>
        <v>110</v>
      </c>
      <c r="AJ5" s="2">
        <f t="shared" si="3"/>
        <v>261.90476190476193</v>
      </c>
      <c r="AK5" s="2">
        <f t="shared" si="4"/>
        <v>1540</v>
      </c>
      <c r="AL5" s="3">
        <f t="shared" si="5"/>
        <v>0.3125</v>
      </c>
      <c r="AM5" s="3">
        <f t="shared" si="6"/>
        <v>0</v>
      </c>
      <c r="AN5" s="2" t="s">
        <v>128</v>
      </c>
      <c r="AO5" s="2">
        <v>0</v>
      </c>
      <c r="AP5" s="2" t="s">
        <v>128</v>
      </c>
      <c r="AQ5" s="2" t="s">
        <v>128</v>
      </c>
      <c r="AR5" s="2" t="s">
        <v>142</v>
      </c>
      <c r="AS5" s="2" t="s">
        <v>111</v>
      </c>
      <c r="AT5" s="2" t="s">
        <v>111</v>
      </c>
      <c r="AU5" s="2" t="s">
        <v>111</v>
      </c>
      <c r="AV5" s="2" t="s">
        <v>143</v>
      </c>
      <c r="AW5" s="2" t="s">
        <v>144</v>
      </c>
      <c r="AX5" s="2" t="s">
        <v>116</v>
      </c>
      <c r="AY5" s="2" t="s">
        <v>145</v>
      </c>
      <c r="AZ5" s="2" t="s">
        <v>146</v>
      </c>
      <c r="BA5" s="5"/>
      <c r="BB5" s="5"/>
      <c r="BC5" s="2" t="s">
        <v>153</v>
      </c>
      <c r="BD5" s="6">
        <v>46217.770833333336</v>
      </c>
      <c r="BE5" s="2" t="s">
        <v>148</v>
      </c>
      <c r="BF5" s="2"/>
      <c r="BG5" s="2" t="str">
        <f t="shared" ca="1" si="7"/>
        <v/>
      </c>
      <c r="BH5" s="2" t="str">
        <f t="shared" ca="1" si="8"/>
        <v/>
      </c>
      <c r="BI5" s="3" t="str">
        <f t="shared" ca="1" si="9"/>
        <v/>
      </c>
      <c r="BJ5" s="2" t="str">
        <f t="shared" ca="1" si="10"/>
        <v>不比較</v>
      </c>
    </row>
    <row r="6" spans="1:62" ht="42" customHeight="1">
      <c r="A6" s="2" t="s">
        <v>154</v>
      </c>
      <c r="B6" s="2" t="s">
        <v>155</v>
      </c>
      <c r="C6" s="2" t="s">
        <v>156</v>
      </c>
      <c r="D6" s="2" t="s">
        <v>157</v>
      </c>
      <c r="E6" s="2" t="s">
        <v>158</v>
      </c>
      <c r="F6" s="2" t="s">
        <v>125</v>
      </c>
      <c r="G6" s="2" t="s">
        <v>108</v>
      </c>
      <c r="H6" s="2" t="s">
        <v>109</v>
      </c>
      <c r="I6" s="2" t="s">
        <v>25</v>
      </c>
      <c r="J6" s="2" t="s">
        <v>159</v>
      </c>
      <c r="K6" s="2" t="s">
        <v>109</v>
      </c>
      <c r="L6" s="2" t="str">
        <f>HYPERLINK("https://www.momoshop.com.tw/product/11976211","開啟商品頁")</f>
        <v>開啟商品頁</v>
      </c>
      <c r="M6" s="2"/>
      <c r="N6" s="4"/>
      <c r="O6" s="4">
        <v>25</v>
      </c>
      <c r="P6" s="4">
        <v>1</v>
      </c>
      <c r="Q6" s="4">
        <v>25</v>
      </c>
      <c r="R6" s="4">
        <v>0</v>
      </c>
      <c r="S6" s="4">
        <v>25</v>
      </c>
      <c r="T6" s="4" t="str">
        <f t="shared" si="0"/>
        <v/>
      </c>
      <c r="U6" s="2" t="s">
        <v>160</v>
      </c>
      <c r="V6" s="2" t="s">
        <v>140</v>
      </c>
      <c r="W6" s="2"/>
      <c r="X6" s="2">
        <v>4500</v>
      </c>
      <c r="Y6" s="2">
        <v>3500</v>
      </c>
      <c r="Z6" s="2">
        <v>3500</v>
      </c>
      <c r="AA6" s="2"/>
      <c r="AB6" s="2"/>
      <c r="AC6" s="2"/>
      <c r="AD6" s="2"/>
      <c r="AE6" s="2"/>
      <c r="AF6" s="2">
        <v>0</v>
      </c>
      <c r="AG6" s="2" t="s">
        <v>109</v>
      </c>
      <c r="AH6" s="2">
        <f t="shared" si="1"/>
        <v>140</v>
      </c>
      <c r="AI6" s="2">
        <f t="shared" si="2"/>
        <v>140</v>
      </c>
      <c r="AJ6" s="2" t="str">
        <f t="shared" si="3"/>
        <v/>
      </c>
      <c r="AK6" s="2">
        <f t="shared" si="4"/>
        <v>3500</v>
      </c>
      <c r="AL6" s="3">
        <f t="shared" si="5"/>
        <v>0.22222222222222221</v>
      </c>
      <c r="AM6" s="3">
        <f t="shared" si="6"/>
        <v>0</v>
      </c>
      <c r="AN6" s="2" t="s">
        <v>128</v>
      </c>
      <c r="AO6" s="2">
        <v>0</v>
      </c>
      <c r="AP6" s="2" t="s">
        <v>128</v>
      </c>
      <c r="AQ6" s="2" t="s">
        <v>128</v>
      </c>
      <c r="AR6" s="2" t="s">
        <v>161</v>
      </c>
      <c r="AS6" s="2" t="s">
        <v>162</v>
      </c>
      <c r="AT6" s="2" t="s">
        <v>111</v>
      </c>
      <c r="AU6" s="2" t="s">
        <v>111</v>
      </c>
      <c r="AV6" s="2" t="s">
        <v>163</v>
      </c>
      <c r="AW6" s="2" t="s">
        <v>164</v>
      </c>
      <c r="AX6" s="2" t="s">
        <v>116</v>
      </c>
      <c r="AY6" s="2" t="s">
        <v>111</v>
      </c>
      <c r="AZ6" s="2" t="s">
        <v>146</v>
      </c>
      <c r="BA6" s="5"/>
      <c r="BB6" s="5"/>
      <c r="BC6" s="2" t="s">
        <v>165</v>
      </c>
      <c r="BD6" s="6">
        <v>46217.770833333336</v>
      </c>
      <c r="BE6" s="2" t="s">
        <v>166</v>
      </c>
      <c r="BF6" s="2" t="s">
        <v>167</v>
      </c>
      <c r="BG6" s="2" t="str">
        <f t="shared" si="7"/>
        <v/>
      </c>
      <c r="BH6" s="2" t="str">
        <f t="shared" si="8"/>
        <v/>
      </c>
      <c r="BI6" s="3" t="str">
        <f t="shared" si="9"/>
        <v/>
      </c>
      <c r="BJ6" s="2" t="str">
        <f t="shared" si="10"/>
        <v>不比較</v>
      </c>
    </row>
    <row r="7" spans="1:62" ht="42" customHeight="1">
      <c r="A7" s="2" t="s">
        <v>168</v>
      </c>
      <c r="B7" s="2" t="s">
        <v>169</v>
      </c>
      <c r="C7" s="2" t="s">
        <v>170</v>
      </c>
      <c r="D7" s="2" t="s">
        <v>171</v>
      </c>
      <c r="E7" s="2" t="s">
        <v>158</v>
      </c>
      <c r="F7" s="2" t="s">
        <v>125</v>
      </c>
      <c r="G7" s="2" t="s">
        <v>108</v>
      </c>
      <c r="H7" s="2" t="s">
        <v>126</v>
      </c>
      <c r="I7" s="2" t="s">
        <v>25</v>
      </c>
      <c r="J7" s="2" t="s">
        <v>170</v>
      </c>
      <c r="K7" s="2" t="s">
        <v>109</v>
      </c>
      <c r="L7" s="2" t="str">
        <f>HYPERLINK("https://www.momoshop.com.tw/product/7384744","開啟商品頁")</f>
        <v>開啟商品頁</v>
      </c>
      <c r="M7" s="2"/>
      <c r="N7" s="4"/>
      <c r="O7" s="4">
        <v>8</v>
      </c>
      <c r="P7" s="4">
        <v>1</v>
      </c>
      <c r="Q7" s="4">
        <v>8</v>
      </c>
      <c r="R7" s="4">
        <v>0</v>
      </c>
      <c r="S7" s="4">
        <v>8</v>
      </c>
      <c r="T7" s="4" t="str">
        <f t="shared" si="0"/>
        <v/>
      </c>
      <c r="U7" s="2" t="s">
        <v>110</v>
      </c>
      <c r="V7" s="2" t="s">
        <v>140</v>
      </c>
      <c r="W7" s="2"/>
      <c r="X7" s="2">
        <v>1380</v>
      </c>
      <c r="Y7" s="2">
        <v>1280</v>
      </c>
      <c r="Z7" s="2">
        <v>1280</v>
      </c>
      <c r="AA7" s="2">
        <v>1180</v>
      </c>
      <c r="AB7" s="2"/>
      <c r="AC7" s="2"/>
      <c r="AD7" s="2"/>
      <c r="AE7" s="2"/>
      <c r="AF7" s="2">
        <v>0</v>
      </c>
      <c r="AG7" s="2" t="s">
        <v>109</v>
      </c>
      <c r="AH7" s="2">
        <f t="shared" si="1"/>
        <v>160</v>
      </c>
      <c r="AI7" s="2">
        <f t="shared" si="2"/>
        <v>160</v>
      </c>
      <c r="AJ7" s="2" t="str">
        <f t="shared" si="3"/>
        <v/>
      </c>
      <c r="AK7" s="2">
        <f t="shared" si="4"/>
        <v>1280</v>
      </c>
      <c r="AL7" s="3">
        <f t="shared" si="5"/>
        <v>7.2463768115942018E-2</v>
      </c>
      <c r="AM7" s="3">
        <f t="shared" si="6"/>
        <v>0</v>
      </c>
      <c r="AN7" s="2" t="s">
        <v>128</v>
      </c>
      <c r="AO7" s="2">
        <v>0</v>
      </c>
      <c r="AP7" s="2" t="s">
        <v>128</v>
      </c>
      <c r="AQ7" s="2" t="s">
        <v>128</v>
      </c>
      <c r="AR7" s="2" t="s">
        <v>172</v>
      </c>
      <c r="AS7" s="2" t="s">
        <v>111</v>
      </c>
      <c r="AT7" s="2" t="s">
        <v>111</v>
      </c>
      <c r="AU7" s="2" t="s">
        <v>111</v>
      </c>
      <c r="AV7" s="2" t="s">
        <v>173</v>
      </c>
      <c r="AW7" s="2" t="s">
        <v>172</v>
      </c>
      <c r="AX7" s="2" t="s">
        <v>116</v>
      </c>
      <c r="AY7" s="2" t="s">
        <v>174</v>
      </c>
      <c r="AZ7" s="2" t="s">
        <v>140</v>
      </c>
      <c r="BA7" s="5"/>
      <c r="BB7" s="5"/>
      <c r="BC7" s="2" t="s">
        <v>175</v>
      </c>
      <c r="BD7" s="6">
        <v>46217.770833333336</v>
      </c>
      <c r="BE7" s="2" t="s">
        <v>118</v>
      </c>
      <c r="BF7" s="2" t="s">
        <v>176</v>
      </c>
      <c r="BG7" s="2" t="str">
        <f t="shared" ca="1" si="7"/>
        <v/>
      </c>
      <c r="BH7" s="2" t="str">
        <f t="shared" ca="1" si="8"/>
        <v/>
      </c>
      <c r="BI7" s="3" t="str">
        <f t="shared" ca="1" si="9"/>
        <v/>
      </c>
      <c r="BJ7" s="2" t="str">
        <f t="shared" ca="1" si="10"/>
        <v>不比較</v>
      </c>
    </row>
    <row r="8" spans="1:62" ht="42" customHeight="1">
      <c r="A8" s="2" t="s">
        <v>177</v>
      </c>
      <c r="B8" s="2" t="s">
        <v>178</v>
      </c>
      <c r="C8" s="2" t="s">
        <v>170</v>
      </c>
      <c r="D8" s="2" t="s">
        <v>179</v>
      </c>
      <c r="E8" s="2" t="s">
        <v>158</v>
      </c>
      <c r="F8" s="2" t="s">
        <v>125</v>
      </c>
      <c r="G8" s="2" t="s">
        <v>108</v>
      </c>
      <c r="H8" s="2" t="s">
        <v>126</v>
      </c>
      <c r="I8" s="2" t="s">
        <v>25</v>
      </c>
      <c r="J8" s="2" t="s">
        <v>170</v>
      </c>
      <c r="K8" s="2" t="s">
        <v>109</v>
      </c>
      <c r="L8" s="2" t="str">
        <f>HYPERLINK("https://www.momoshop.com.tw/product/10086436","開啟商品頁")</f>
        <v>開啟商品頁</v>
      </c>
      <c r="M8" s="2"/>
      <c r="N8" s="4"/>
      <c r="O8" s="4">
        <v>28</v>
      </c>
      <c r="P8" s="4">
        <v>1</v>
      </c>
      <c r="Q8" s="4">
        <v>28</v>
      </c>
      <c r="R8" s="4">
        <v>0</v>
      </c>
      <c r="S8" s="4">
        <v>28</v>
      </c>
      <c r="T8" s="4" t="str">
        <f t="shared" si="0"/>
        <v/>
      </c>
      <c r="U8" s="2" t="s">
        <v>160</v>
      </c>
      <c r="V8" s="2" t="s">
        <v>140</v>
      </c>
      <c r="W8" s="2"/>
      <c r="X8" s="2">
        <v>4580</v>
      </c>
      <c r="Y8" s="2">
        <v>4380</v>
      </c>
      <c r="Z8" s="2">
        <v>4380</v>
      </c>
      <c r="AA8" s="2"/>
      <c r="AB8" s="2"/>
      <c r="AC8" s="2"/>
      <c r="AD8" s="2">
        <v>4099</v>
      </c>
      <c r="AE8" s="2"/>
      <c r="AF8" s="2">
        <v>0</v>
      </c>
      <c r="AG8" s="2" t="s">
        <v>109</v>
      </c>
      <c r="AH8" s="2">
        <f t="shared" si="1"/>
        <v>156.42857142857142</v>
      </c>
      <c r="AI8" s="2">
        <f t="shared" si="2"/>
        <v>156.42857142857142</v>
      </c>
      <c r="AJ8" s="2" t="str">
        <f t="shared" si="3"/>
        <v/>
      </c>
      <c r="AK8" s="2">
        <f t="shared" si="4"/>
        <v>4380</v>
      </c>
      <c r="AL8" s="3">
        <f t="shared" si="5"/>
        <v>4.3668122270742349E-2</v>
      </c>
      <c r="AM8" s="3">
        <f t="shared" si="6"/>
        <v>0</v>
      </c>
      <c r="AN8" s="2" t="s">
        <v>180</v>
      </c>
      <c r="AO8" s="2">
        <v>0</v>
      </c>
      <c r="AP8" s="2" t="s">
        <v>181</v>
      </c>
      <c r="AQ8" s="2" t="s">
        <v>182</v>
      </c>
      <c r="AR8" s="2" t="s">
        <v>172</v>
      </c>
      <c r="AS8" s="2" t="s">
        <v>111</v>
      </c>
      <c r="AT8" s="2" t="s">
        <v>111</v>
      </c>
      <c r="AU8" s="2" t="s">
        <v>111</v>
      </c>
      <c r="AV8" s="2" t="s">
        <v>128</v>
      </c>
      <c r="AW8" s="2" t="s">
        <v>172</v>
      </c>
      <c r="AX8" s="2" t="s">
        <v>116</v>
      </c>
      <c r="AY8" s="2" t="s">
        <v>174</v>
      </c>
      <c r="AZ8" s="2" t="s">
        <v>140</v>
      </c>
      <c r="BA8" s="5"/>
      <c r="BB8" s="5"/>
      <c r="BC8" s="2" t="s">
        <v>183</v>
      </c>
      <c r="BD8" s="6">
        <v>46217.770833333336</v>
      </c>
      <c r="BE8" s="2" t="s">
        <v>166</v>
      </c>
      <c r="BF8" s="2" t="s">
        <v>184</v>
      </c>
      <c r="BG8" s="2" t="str">
        <f t="shared" si="7"/>
        <v/>
      </c>
      <c r="BH8" s="2" t="str">
        <f t="shared" si="8"/>
        <v/>
      </c>
      <c r="BI8" s="3" t="str">
        <f t="shared" si="9"/>
        <v/>
      </c>
      <c r="BJ8" s="2" t="str">
        <f t="shared" si="10"/>
        <v>不比較</v>
      </c>
    </row>
    <row r="9" spans="1:62" ht="42" customHeight="1">
      <c r="A9" s="2" t="s">
        <v>185</v>
      </c>
      <c r="B9" s="2" t="s">
        <v>151</v>
      </c>
      <c r="C9" s="2" t="s">
        <v>137</v>
      </c>
      <c r="D9" s="2" t="s">
        <v>186</v>
      </c>
      <c r="E9" s="2" t="s">
        <v>139</v>
      </c>
      <c r="F9" s="2" t="s">
        <v>125</v>
      </c>
      <c r="G9" s="2" t="s">
        <v>108</v>
      </c>
      <c r="H9" s="2" t="s">
        <v>126</v>
      </c>
      <c r="I9" s="2" t="s">
        <v>28</v>
      </c>
      <c r="J9" s="2" t="s">
        <v>187</v>
      </c>
      <c r="K9" s="2" t="s">
        <v>188</v>
      </c>
      <c r="L9" s="2" t="str">
        <f>HYPERLINK("https://24h.pchome.com.tw/prod/DBDJ05-1900FOWPN","開啟商品頁")</f>
        <v>開啟商品頁</v>
      </c>
      <c r="M9" s="2"/>
      <c r="N9" s="4">
        <v>42</v>
      </c>
      <c r="O9" s="4">
        <v>14</v>
      </c>
      <c r="P9" s="4">
        <v>2</v>
      </c>
      <c r="Q9" s="4">
        <v>28</v>
      </c>
      <c r="R9" s="4">
        <v>0</v>
      </c>
      <c r="S9" s="4">
        <v>28</v>
      </c>
      <c r="T9" s="4">
        <f t="shared" si="0"/>
        <v>1176</v>
      </c>
      <c r="U9" s="2" t="s">
        <v>110</v>
      </c>
      <c r="V9" s="2" t="s">
        <v>140</v>
      </c>
      <c r="W9" s="2"/>
      <c r="X9" s="2">
        <v>4480</v>
      </c>
      <c r="Y9" s="2">
        <v>3080</v>
      </c>
      <c r="Z9" s="2">
        <v>3080</v>
      </c>
      <c r="AA9" s="2"/>
      <c r="AB9" s="2"/>
      <c r="AC9" s="2"/>
      <c r="AD9" s="2"/>
      <c r="AE9" s="2"/>
      <c r="AF9" s="2">
        <v>0</v>
      </c>
      <c r="AG9" s="2" t="s">
        <v>109</v>
      </c>
      <c r="AH9" s="2">
        <f t="shared" si="1"/>
        <v>110</v>
      </c>
      <c r="AI9" s="2">
        <f t="shared" si="2"/>
        <v>110</v>
      </c>
      <c r="AJ9" s="2">
        <f t="shared" si="3"/>
        <v>261.90476190476193</v>
      </c>
      <c r="AK9" s="2">
        <f t="shared" si="4"/>
        <v>1540</v>
      </c>
      <c r="AL9" s="3">
        <f t="shared" si="5"/>
        <v>0.3125</v>
      </c>
      <c r="AM9" s="3">
        <f t="shared" si="6"/>
        <v>0</v>
      </c>
      <c r="AN9" s="2" t="s">
        <v>189</v>
      </c>
      <c r="AO9" s="2">
        <v>7</v>
      </c>
      <c r="AP9" s="2" t="s">
        <v>190</v>
      </c>
      <c r="AQ9" s="2" t="s">
        <v>191</v>
      </c>
      <c r="AR9" s="2" t="s">
        <v>142</v>
      </c>
      <c r="AS9" s="2" t="s">
        <v>192</v>
      </c>
      <c r="AT9" s="2" t="s">
        <v>111</v>
      </c>
      <c r="AU9" s="2" t="s">
        <v>111</v>
      </c>
      <c r="AV9" s="2" t="s">
        <v>128</v>
      </c>
      <c r="AW9" s="2" t="s">
        <v>144</v>
      </c>
      <c r="AX9" s="2" t="s">
        <v>116</v>
      </c>
      <c r="AY9" s="2" t="s">
        <v>145</v>
      </c>
      <c r="AZ9" s="2" t="s">
        <v>140</v>
      </c>
      <c r="BA9" s="5"/>
      <c r="BB9" s="5"/>
      <c r="BC9" s="2" t="s">
        <v>193</v>
      </c>
      <c r="BD9" s="6">
        <v>46217.770833333336</v>
      </c>
      <c r="BE9" s="2" t="s">
        <v>148</v>
      </c>
      <c r="BF9" s="2" t="s">
        <v>194</v>
      </c>
      <c r="BG9" s="2" t="str">
        <f t="shared" ca="1" si="7"/>
        <v/>
      </c>
      <c r="BH9" s="2" t="str">
        <f t="shared" ca="1" si="8"/>
        <v/>
      </c>
      <c r="BI9" s="3" t="str">
        <f t="shared" ca="1" si="9"/>
        <v/>
      </c>
      <c r="BJ9" s="2" t="str">
        <f t="shared" ca="1" si="10"/>
        <v>不比較</v>
      </c>
    </row>
    <row r="10" spans="1:62" ht="42" customHeight="1">
      <c r="A10" s="2" t="s">
        <v>195</v>
      </c>
      <c r="B10" s="2" t="s">
        <v>196</v>
      </c>
      <c r="C10" s="2" t="s">
        <v>197</v>
      </c>
      <c r="D10" s="2" t="s">
        <v>198</v>
      </c>
      <c r="E10" s="2" t="s">
        <v>124</v>
      </c>
      <c r="F10" s="2" t="s">
        <v>125</v>
      </c>
      <c r="G10" s="2" t="s">
        <v>108</v>
      </c>
      <c r="H10" s="2" t="s">
        <v>126</v>
      </c>
      <c r="I10" s="2" t="s">
        <v>28</v>
      </c>
      <c r="J10" s="2" t="s">
        <v>199</v>
      </c>
      <c r="K10" s="2" t="s">
        <v>109</v>
      </c>
      <c r="L10" s="2" t="str">
        <f>HYPERLINK("https://24h.pchome.com.tw/prod/QFCL5N-A900ARZ7G","開啟商品頁")</f>
        <v>開啟商品頁</v>
      </c>
      <c r="M10" s="2"/>
      <c r="N10" s="4">
        <v>65</v>
      </c>
      <c r="O10" s="4">
        <v>20</v>
      </c>
      <c r="P10" s="4">
        <v>2</v>
      </c>
      <c r="Q10" s="4">
        <v>40</v>
      </c>
      <c r="R10" s="4">
        <v>0</v>
      </c>
      <c r="S10" s="4">
        <v>40</v>
      </c>
      <c r="T10" s="4">
        <f t="shared" si="0"/>
        <v>2600</v>
      </c>
      <c r="U10" s="2" t="s">
        <v>110</v>
      </c>
      <c r="V10" s="2" t="s">
        <v>200</v>
      </c>
      <c r="W10" s="2"/>
      <c r="X10" s="2">
        <v>7920</v>
      </c>
      <c r="Y10" s="2">
        <v>4999</v>
      </c>
      <c r="Z10" s="2">
        <v>4999</v>
      </c>
      <c r="AA10" s="2"/>
      <c r="AB10" s="2"/>
      <c r="AC10" s="2"/>
      <c r="AD10" s="2"/>
      <c r="AE10" s="2"/>
      <c r="AF10" s="2">
        <v>0</v>
      </c>
      <c r="AG10" s="2" t="s">
        <v>109</v>
      </c>
      <c r="AH10" s="2">
        <f t="shared" si="1"/>
        <v>124.97499999999999</v>
      </c>
      <c r="AI10" s="2">
        <f t="shared" si="2"/>
        <v>124.97499999999999</v>
      </c>
      <c r="AJ10" s="2">
        <f t="shared" si="3"/>
        <v>192.26923076923077</v>
      </c>
      <c r="AK10" s="2">
        <f t="shared" si="4"/>
        <v>2499.5</v>
      </c>
      <c r="AL10" s="3">
        <f t="shared" si="5"/>
        <v>0.36881313131313131</v>
      </c>
      <c r="AM10" s="3">
        <f t="shared" si="6"/>
        <v>0</v>
      </c>
      <c r="AN10" s="2" t="s">
        <v>128</v>
      </c>
      <c r="AO10" s="2">
        <v>0</v>
      </c>
      <c r="AP10" s="2" t="s">
        <v>128</v>
      </c>
      <c r="AQ10" s="2" t="s">
        <v>128</v>
      </c>
      <c r="AR10" s="2" t="s">
        <v>129</v>
      </c>
      <c r="AS10" s="2" t="s">
        <v>201</v>
      </c>
      <c r="AT10" s="2" t="s">
        <v>111</v>
      </c>
      <c r="AU10" s="2" t="s">
        <v>202</v>
      </c>
      <c r="AV10" s="2" t="s">
        <v>128</v>
      </c>
      <c r="AW10" s="2" t="s">
        <v>203</v>
      </c>
      <c r="AX10" s="2" t="s">
        <v>116</v>
      </c>
      <c r="AY10" s="2" t="s">
        <v>204</v>
      </c>
      <c r="AZ10" s="2" t="s">
        <v>205</v>
      </c>
      <c r="BA10" s="5"/>
      <c r="BB10" s="5"/>
      <c r="BC10" s="2" t="s">
        <v>206</v>
      </c>
      <c r="BD10" s="6">
        <v>46217.770833333336</v>
      </c>
      <c r="BE10" s="2" t="s">
        <v>148</v>
      </c>
      <c r="BF10" s="2"/>
      <c r="BG10" s="2" t="str">
        <f t="shared" ca="1" si="7"/>
        <v/>
      </c>
      <c r="BH10" s="2" t="str">
        <f t="shared" ca="1" si="8"/>
        <v/>
      </c>
      <c r="BI10" s="3" t="str">
        <f t="shared" ca="1" si="9"/>
        <v/>
      </c>
      <c r="BJ10" s="2" t="str">
        <f t="shared" ca="1" si="10"/>
        <v>不比較</v>
      </c>
    </row>
    <row r="11" spans="1:62" ht="42" customHeight="1">
      <c r="A11" s="2" t="s">
        <v>207</v>
      </c>
      <c r="B11" s="2" t="s">
        <v>208</v>
      </c>
      <c r="C11" s="2" t="s">
        <v>209</v>
      </c>
      <c r="D11" s="2" t="s">
        <v>210</v>
      </c>
      <c r="E11" s="2" t="s">
        <v>158</v>
      </c>
      <c r="F11" s="2" t="s">
        <v>125</v>
      </c>
      <c r="G11" s="2" t="s">
        <v>108</v>
      </c>
      <c r="H11" s="2" t="s">
        <v>126</v>
      </c>
      <c r="I11" s="2" t="s">
        <v>28</v>
      </c>
      <c r="J11" s="2" t="s">
        <v>211</v>
      </c>
      <c r="K11" s="2" t="s">
        <v>109</v>
      </c>
      <c r="L11" s="2" t="str">
        <f>HYPERLINK("https://24h.pchome.com.tw/prod/DBCU32-A900I8W66","開啟商品頁")</f>
        <v>開啟商品頁</v>
      </c>
      <c r="M11" s="2"/>
      <c r="N11" s="4">
        <v>60</v>
      </c>
      <c r="O11" s="4">
        <v>15</v>
      </c>
      <c r="P11" s="4">
        <v>1</v>
      </c>
      <c r="Q11" s="4">
        <v>15</v>
      </c>
      <c r="R11" s="4">
        <v>0</v>
      </c>
      <c r="S11" s="4">
        <v>15</v>
      </c>
      <c r="T11" s="4">
        <f t="shared" si="0"/>
        <v>900</v>
      </c>
      <c r="U11" s="2" t="s">
        <v>110</v>
      </c>
      <c r="V11" s="2" t="s">
        <v>140</v>
      </c>
      <c r="W11" s="2"/>
      <c r="X11" s="2">
        <v>2880</v>
      </c>
      <c r="Y11" s="2">
        <v>2448</v>
      </c>
      <c r="Z11" s="2">
        <v>2448</v>
      </c>
      <c r="AA11" s="2"/>
      <c r="AB11" s="2"/>
      <c r="AC11" s="2"/>
      <c r="AD11" s="2"/>
      <c r="AE11" s="2"/>
      <c r="AF11" s="2">
        <v>0</v>
      </c>
      <c r="AG11" s="2" t="s">
        <v>109</v>
      </c>
      <c r="AH11" s="2">
        <f t="shared" si="1"/>
        <v>163.19999999999999</v>
      </c>
      <c r="AI11" s="2">
        <f t="shared" si="2"/>
        <v>163.19999999999999</v>
      </c>
      <c r="AJ11" s="2">
        <f t="shared" si="3"/>
        <v>272</v>
      </c>
      <c r="AK11" s="2">
        <f t="shared" si="4"/>
        <v>2448</v>
      </c>
      <c r="AL11" s="3">
        <f t="shared" si="5"/>
        <v>0.15000000000000002</v>
      </c>
      <c r="AM11" s="3">
        <f t="shared" si="6"/>
        <v>0</v>
      </c>
      <c r="AN11" s="2" t="s">
        <v>128</v>
      </c>
      <c r="AO11" s="2">
        <v>0</v>
      </c>
      <c r="AP11" s="2" t="s">
        <v>128</v>
      </c>
      <c r="AQ11" s="2" t="s">
        <v>128</v>
      </c>
      <c r="AR11" s="2" t="s">
        <v>212</v>
      </c>
      <c r="AS11" s="2" t="s">
        <v>213</v>
      </c>
      <c r="AT11" s="2" t="s">
        <v>111</v>
      </c>
      <c r="AU11" s="2" t="s">
        <v>111</v>
      </c>
      <c r="AV11" s="2" t="s">
        <v>128</v>
      </c>
      <c r="AW11" s="2" t="s">
        <v>214</v>
      </c>
      <c r="AX11" s="2" t="s">
        <v>116</v>
      </c>
      <c r="AY11" s="2" t="s">
        <v>111</v>
      </c>
      <c r="AZ11" s="2" t="s">
        <v>140</v>
      </c>
      <c r="BA11" s="5"/>
      <c r="BB11" s="5"/>
      <c r="BC11" s="2" t="s">
        <v>215</v>
      </c>
      <c r="BD11" s="6">
        <v>46217.770833333336</v>
      </c>
      <c r="BE11" s="2" t="s">
        <v>118</v>
      </c>
      <c r="BF11" s="2"/>
      <c r="BG11" s="2" t="str">
        <f t="shared" ca="1" si="7"/>
        <v/>
      </c>
      <c r="BH11" s="2" t="str">
        <f t="shared" ca="1" si="8"/>
        <v/>
      </c>
      <c r="BI11" s="3" t="str">
        <f t="shared" ca="1" si="9"/>
        <v/>
      </c>
      <c r="BJ11" s="2" t="str">
        <f t="shared" ca="1" si="10"/>
        <v>不比較</v>
      </c>
    </row>
    <row r="12" spans="1:62" ht="42" customHeight="1">
      <c r="A12" s="2" t="s">
        <v>216</v>
      </c>
      <c r="B12" s="2" t="s">
        <v>217</v>
      </c>
      <c r="C12" s="2" t="s">
        <v>218</v>
      </c>
      <c r="D12" s="2" t="s">
        <v>219</v>
      </c>
      <c r="E12" s="2" t="s">
        <v>124</v>
      </c>
      <c r="F12" s="2" t="s">
        <v>125</v>
      </c>
      <c r="G12" s="2" t="s">
        <v>108</v>
      </c>
      <c r="H12" s="2" t="s">
        <v>126</v>
      </c>
      <c r="I12" s="2" t="s">
        <v>28</v>
      </c>
      <c r="J12" s="2" t="s">
        <v>187</v>
      </c>
      <c r="K12" s="2" t="s">
        <v>188</v>
      </c>
      <c r="L12" s="2" t="str">
        <f>HYPERLINK("https://24h.pchome.com.tw/prod/DBCQ00-A900FCDW4","開啟商品頁")</f>
        <v>開啟商品頁</v>
      </c>
      <c r="M12" s="2"/>
      <c r="N12" s="4">
        <v>65</v>
      </c>
      <c r="O12" s="4">
        <v>20</v>
      </c>
      <c r="P12" s="4">
        <v>2</v>
      </c>
      <c r="Q12" s="4">
        <v>40</v>
      </c>
      <c r="R12" s="4">
        <v>0</v>
      </c>
      <c r="S12" s="4">
        <v>40</v>
      </c>
      <c r="T12" s="4">
        <f t="shared" si="0"/>
        <v>2600</v>
      </c>
      <c r="U12" s="2" t="s">
        <v>110</v>
      </c>
      <c r="V12" s="2" t="s">
        <v>200</v>
      </c>
      <c r="W12" s="2"/>
      <c r="X12" s="2">
        <v>6560</v>
      </c>
      <c r="Y12" s="2">
        <v>5904</v>
      </c>
      <c r="Z12" s="2">
        <v>5904</v>
      </c>
      <c r="AA12" s="2"/>
      <c r="AB12" s="2"/>
      <c r="AC12" s="2"/>
      <c r="AD12" s="2"/>
      <c r="AE12" s="2"/>
      <c r="AF12" s="2">
        <v>0</v>
      </c>
      <c r="AG12" s="2" t="s">
        <v>109</v>
      </c>
      <c r="AH12" s="2">
        <f t="shared" si="1"/>
        <v>147.6</v>
      </c>
      <c r="AI12" s="2">
        <f t="shared" si="2"/>
        <v>147.6</v>
      </c>
      <c r="AJ12" s="2">
        <f t="shared" si="3"/>
        <v>227.07692307692309</v>
      </c>
      <c r="AK12" s="2">
        <f t="shared" si="4"/>
        <v>2952</v>
      </c>
      <c r="AL12" s="3">
        <f t="shared" si="5"/>
        <v>9.9999999999999978E-2</v>
      </c>
      <c r="AM12" s="3">
        <f t="shared" si="6"/>
        <v>0</v>
      </c>
      <c r="AN12" s="2" t="s">
        <v>128</v>
      </c>
      <c r="AO12" s="2">
        <v>0</v>
      </c>
      <c r="AP12" s="2" t="s">
        <v>128</v>
      </c>
      <c r="AQ12" s="2" t="s">
        <v>128</v>
      </c>
      <c r="AR12" s="2" t="s">
        <v>129</v>
      </c>
      <c r="AS12" s="2" t="s">
        <v>220</v>
      </c>
      <c r="AT12" s="2" t="s">
        <v>111</v>
      </c>
      <c r="AU12" s="2" t="s">
        <v>111</v>
      </c>
      <c r="AV12" s="2" t="s">
        <v>221</v>
      </c>
      <c r="AW12" s="2" t="s">
        <v>111</v>
      </c>
      <c r="AX12" s="2" t="s">
        <v>116</v>
      </c>
      <c r="AY12" s="2" t="s">
        <v>111</v>
      </c>
      <c r="AZ12" s="2" t="s">
        <v>200</v>
      </c>
      <c r="BA12" s="5"/>
      <c r="BB12" s="5"/>
      <c r="BC12" s="2" t="s">
        <v>222</v>
      </c>
      <c r="BD12" s="6">
        <v>46217.770833333336</v>
      </c>
      <c r="BE12" s="2" t="s">
        <v>118</v>
      </c>
      <c r="BF12" s="2"/>
      <c r="BG12" s="2" t="str">
        <f t="shared" ca="1" si="7"/>
        <v/>
      </c>
      <c r="BH12" s="2" t="str">
        <f t="shared" ca="1" si="8"/>
        <v/>
      </c>
      <c r="BI12" s="3" t="str">
        <f t="shared" ca="1" si="9"/>
        <v/>
      </c>
      <c r="BJ12" s="2" t="str">
        <f t="shared" ca="1" si="10"/>
        <v>不比較</v>
      </c>
    </row>
    <row r="13" spans="1:62" ht="42" customHeight="1">
      <c r="A13" s="2" t="s">
        <v>223</v>
      </c>
      <c r="B13" s="2" t="s">
        <v>224</v>
      </c>
      <c r="C13" s="2" t="s">
        <v>218</v>
      </c>
      <c r="D13" s="2" t="s">
        <v>225</v>
      </c>
      <c r="E13" s="2" t="s">
        <v>124</v>
      </c>
      <c r="F13" s="2" t="s">
        <v>125</v>
      </c>
      <c r="G13" s="2" t="s">
        <v>108</v>
      </c>
      <c r="H13" s="2" t="s">
        <v>126</v>
      </c>
      <c r="I13" s="2" t="s">
        <v>28</v>
      </c>
      <c r="J13" s="2" t="s">
        <v>187</v>
      </c>
      <c r="K13" s="2" t="s">
        <v>188</v>
      </c>
      <c r="L13" s="2" t="str">
        <f>HYPERLINK("https://24h.pchome.com.tw/prod/DBCQ00-A900FCDWH","開啟商品頁")</f>
        <v>開啟商品頁</v>
      </c>
      <c r="M13" s="2"/>
      <c r="N13" s="4">
        <v>65</v>
      </c>
      <c r="O13" s="4">
        <v>20</v>
      </c>
      <c r="P13" s="4">
        <v>1</v>
      </c>
      <c r="Q13" s="4">
        <v>20</v>
      </c>
      <c r="R13" s="4">
        <v>0</v>
      </c>
      <c r="S13" s="4">
        <v>20</v>
      </c>
      <c r="T13" s="4">
        <f t="shared" si="0"/>
        <v>1300</v>
      </c>
      <c r="U13" s="2" t="s">
        <v>110</v>
      </c>
      <c r="V13" s="2" t="s">
        <v>200</v>
      </c>
      <c r="W13" s="2"/>
      <c r="X13" s="2">
        <v>5000</v>
      </c>
      <c r="Y13" s="2">
        <v>3116</v>
      </c>
      <c r="Z13" s="2">
        <v>3116</v>
      </c>
      <c r="AA13" s="2"/>
      <c r="AB13" s="2"/>
      <c r="AC13" s="2"/>
      <c r="AD13" s="2"/>
      <c r="AE13" s="2"/>
      <c r="AF13" s="2">
        <v>0</v>
      </c>
      <c r="AG13" s="2" t="s">
        <v>109</v>
      </c>
      <c r="AH13" s="2">
        <f t="shared" si="1"/>
        <v>155.80000000000001</v>
      </c>
      <c r="AI13" s="2">
        <f t="shared" si="2"/>
        <v>155.80000000000001</v>
      </c>
      <c r="AJ13" s="2">
        <f t="shared" si="3"/>
        <v>239.69230769230768</v>
      </c>
      <c r="AK13" s="2">
        <f t="shared" si="4"/>
        <v>3116</v>
      </c>
      <c r="AL13" s="3">
        <f t="shared" si="5"/>
        <v>0.37680000000000002</v>
      </c>
      <c r="AM13" s="3">
        <f t="shared" si="6"/>
        <v>0</v>
      </c>
      <c r="AN13" s="2" t="s">
        <v>128</v>
      </c>
      <c r="AO13" s="2">
        <v>0</v>
      </c>
      <c r="AP13" s="2" t="s">
        <v>128</v>
      </c>
      <c r="AQ13" s="2" t="s">
        <v>128</v>
      </c>
      <c r="AR13" s="2" t="s">
        <v>129</v>
      </c>
      <c r="AS13" s="2" t="s">
        <v>220</v>
      </c>
      <c r="AT13" s="2" t="s">
        <v>111</v>
      </c>
      <c r="AU13" s="2" t="s">
        <v>111</v>
      </c>
      <c r="AV13" s="2" t="s">
        <v>221</v>
      </c>
      <c r="AW13" s="2" t="s">
        <v>111</v>
      </c>
      <c r="AX13" s="2" t="s">
        <v>116</v>
      </c>
      <c r="AY13" s="2" t="s">
        <v>111</v>
      </c>
      <c r="AZ13" s="2" t="s">
        <v>200</v>
      </c>
      <c r="BA13" s="5"/>
      <c r="BB13" s="5"/>
      <c r="BC13" s="2" t="s">
        <v>226</v>
      </c>
      <c r="BD13" s="6">
        <v>46217.770833333336</v>
      </c>
      <c r="BE13" s="2" t="s">
        <v>118</v>
      </c>
      <c r="BF13" s="2"/>
      <c r="BG13" s="2" t="str">
        <f t="shared" ca="1" si="7"/>
        <v/>
      </c>
      <c r="BH13" s="2" t="str">
        <f t="shared" ca="1" si="8"/>
        <v/>
      </c>
      <c r="BI13" s="3" t="str">
        <f t="shared" ca="1" si="9"/>
        <v/>
      </c>
      <c r="BJ13" s="2" t="str">
        <f t="shared" ca="1" si="10"/>
        <v>不比較</v>
      </c>
    </row>
    <row r="14" spans="1:62" ht="42" customHeight="1">
      <c r="A14" s="2" t="s">
        <v>227</v>
      </c>
      <c r="B14" s="2" t="s">
        <v>228</v>
      </c>
      <c r="C14" s="2" t="s">
        <v>229</v>
      </c>
      <c r="D14" s="2" t="s">
        <v>230</v>
      </c>
      <c r="E14" s="2" t="s">
        <v>124</v>
      </c>
      <c r="F14" s="2" t="s">
        <v>125</v>
      </c>
      <c r="G14" s="2" t="s">
        <v>108</v>
      </c>
      <c r="H14" s="2" t="s">
        <v>109</v>
      </c>
      <c r="I14" s="2" t="s">
        <v>28</v>
      </c>
      <c r="J14" s="2" t="s">
        <v>229</v>
      </c>
      <c r="K14" s="2" t="s">
        <v>109</v>
      </c>
      <c r="L14" s="2" t="str">
        <f>HYPERLINK("https://24h.pchome.com.tw/prod/DBBBEC-A900GRIZ3","開啟商品頁")</f>
        <v>開啟商品頁</v>
      </c>
      <c r="M14" s="2"/>
      <c r="N14" s="4">
        <v>60</v>
      </c>
      <c r="O14" s="4">
        <v>20</v>
      </c>
      <c r="P14" s="4">
        <v>2</v>
      </c>
      <c r="Q14" s="4">
        <v>40</v>
      </c>
      <c r="R14" s="4">
        <v>0</v>
      </c>
      <c r="S14" s="4">
        <v>40</v>
      </c>
      <c r="T14" s="4">
        <f t="shared" si="0"/>
        <v>2400</v>
      </c>
      <c r="U14" s="2" t="s">
        <v>110</v>
      </c>
      <c r="V14" s="2" t="s">
        <v>200</v>
      </c>
      <c r="W14" s="2"/>
      <c r="X14" s="2">
        <v>5900</v>
      </c>
      <c r="Y14" s="2">
        <v>5500</v>
      </c>
      <c r="Z14" s="2">
        <v>5500</v>
      </c>
      <c r="AA14" s="2"/>
      <c r="AB14" s="2"/>
      <c r="AC14" s="2"/>
      <c r="AD14" s="2"/>
      <c r="AE14" s="2"/>
      <c r="AF14" s="2">
        <v>0</v>
      </c>
      <c r="AG14" s="2" t="s">
        <v>109</v>
      </c>
      <c r="AH14" s="2">
        <f t="shared" si="1"/>
        <v>137.5</v>
      </c>
      <c r="AI14" s="2">
        <f t="shared" si="2"/>
        <v>137.5</v>
      </c>
      <c r="AJ14" s="2">
        <f t="shared" si="3"/>
        <v>229.16666666666666</v>
      </c>
      <c r="AK14" s="2">
        <f t="shared" si="4"/>
        <v>2750</v>
      </c>
      <c r="AL14" s="3">
        <f t="shared" si="5"/>
        <v>6.7796610169491567E-2</v>
      </c>
      <c r="AM14" s="3">
        <f t="shared" si="6"/>
        <v>0</v>
      </c>
      <c r="AN14" s="2" t="s">
        <v>128</v>
      </c>
      <c r="AO14" s="2">
        <v>0</v>
      </c>
      <c r="AP14" s="2" t="s">
        <v>128</v>
      </c>
      <c r="AQ14" s="2" t="s">
        <v>128</v>
      </c>
      <c r="AR14" s="2" t="s">
        <v>129</v>
      </c>
      <c r="AS14" s="2" t="s">
        <v>231</v>
      </c>
      <c r="AT14" s="2" t="s">
        <v>111</v>
      </c>
      <c r="AU14" s="2" t="s">
        <v>111</v>
      </c>
      <c r="AV14" s="2" t="s">
        <v>163</v>
      </c>
      <c r="AW14" s="2" t="s">
        <v>111</v>
      </c>
      <c r="AX14" s="2" t="s">
        <v>116</v>
      </c>
      <c r="AY14" s="2" t="s">
        <v>111</v>
      </c>
      <c r="AZ14" s="2" t="s">
        <v>200</v>
      </c>
      <c r="BA14" s="5"/>
      <c r="BB14" s="5"/>
      <c r="BC14" s="2" t="s">
        <v>232</v>
      </c>
      <c r="BD14" s="6">
        <v>46217.770833333336</v>
      </c>
      <c r="BE14" s="2" t="s">
        <v>118</v>
      </c>
      <c r="BF14" s="2"/>
      <c r="BG14" s="2" t="str">
        <f t="shared" ca="1" si="7"/>
        <v/>
      </c>
      <c r="BH14" s="2" t="str">
        <f t="shared" ca="1" si="8"/>
        <v/>
      </c>
      <c r="BI14" s="3" t="str">
        <f t="shared" ca="1" si="9"/>
        <v/>
      </c>
      <c r="BJ14" s="2" t="str">
        <f t="shared" ca="1" si="10"/>
        <v>不比較</v>
      </c>
    </row>
    <row r="15" spans="1:62" ht="42" customHeight="1">
      <c r="A15" s="2" t="s">
        <v>233</v>
      </c>
      <c r="B15" s="2" t="s">
        <v>234</v>
      </c>
      <c r="C15" s="2" t="s">
        <v>235</v>
      </c>
      <c r="D15" s="2" t="s">
        <v>236</v>
      </c>
      <c r="E15" s="2" t="s">
        <v>158</v>
      </c>
      <c r="F15" s="2" t="s">
        <v>125</v>
      </c>
      <c r="G15" s="2" t="s">
        <v>108</v>
      </c>
      <c r="H15" s="2" t="s">
        <v>126</v>
      </c>
      <c r="I15" s="2" t="s">
        <v>28</v>
      </c>
      <c r="J15" s="2" t="s">
        <v>187</v>
      </c>
      <c r="K15" s="2" t="s">
        <v>188</v>
      </c>
      <c r="L15" s="2" t="str">
        <f>HYPERLINK("https://24h.pchome.com.tw/prod/DBBB86-1900BA8VM","開啟商品頁")</f>
        <v>開啟商品頁</v>
      </c>
      <c r="M15" s="2"/>
      <c r="N15" s="4">
        <v>60</v>
      </c>
      <c r="O15" s="4">
        <v>10</v>
      </c>
      <c r="P15" s="4">
        <v>3</v>
      </c>
      <c r="Q15" s="4">
        <v>30</v>
      </c>
      <c r="R15" s="4">
        <v>0</v>
      </c>
      <c r="S15" s="4">
        <v>30</v>
      </c>
      <c r="T15" s="4">
        <f t="shared" si="0"/>
        <v>1800</v>
      </c>
      <c r="U15" s="2" t="s">
        <v>110</v>
      </c>
      <c r="V15" s="2" t="s">
        <v>140</v>
      </c>
      <c r="W15" s="2"/>
      <c r="X15" s="2">
        <v>5400</v>
      </c>
      <c r="Y15" s="2">
        <v>3180</v>
      </c>
      <c r="Z15" s="2">
        <v>3180</v>
      </c>
      <c r="AA15" s="2"/>
      <c r="AB15" s="2"/>
      <c r="AC15" s="2"/>
      <c r="AD15" s="2"/>
      <c r="AE15" s="2"/>
      <c r="AF15" s="2">
        <v>0</v>
      </c>
      <c r="AG15" s="2" t="s">
        <v>109</v>
      </c>
      <c r="AH15" s="2">
        <f t="shared" si="1"/>
        <v>106</v>
      </c>
      <c r="AI15" s="2">
        <f t="shared" si="2"/>
        <v>106</v>
      </c>
      <c r="AJ15" s="2">
        <f t="shared" si="3"/>
        <v>176.66666666666666</v>
      </c>
      <c r="AK15" s="2">
        <f t="shared" si="4"/>
        <v>1060</v>
      </c>
      <c r="AL15" s="3">
        <f t="shared" si="5"/>
        <v>0.41111111111111109</v>
      </c>
      <c r="AM15" s="3">
        <f t="shared" si="6"/>
        <v>0</v>
      </c>
      <c r="AN15" s="2" t="s">
        <v>237</v>
      </c>
      <c r="AO15" s="2">
        <v>1</v>
      </c>
      <c r="AP15" s="2" t="s">
        <v>238</v>
      </c>
      <c r="AQ15" s="2" t="s">
        <v>239</v>
      </c>
      <c r="AR15" s="2" t="s">
        <v>240</v>
      </c>
      <c r="AS15" s="2" t="s">
        <v>241</v>
      </c>
      <c r="AT15" s="2" t="s">
        <v>111</v>
      </c>
      <c r="AU15" s="2" t="s">
        <v>111</v>
      </c>
      <c r="AV15" s="2" t="s">
        <v>128</v>
      </c>
      <c r="AW15" s="2" t="s">
        <v>240</v>
      </c>
      <c r="AX15" s="2" t="s">
        <v>116</v>
      </c>
      <c r="AY15" s="2" t="s">
        <v>242</v>
      </c>
      <c r="AZ15" s="2" t="s">
        <v>146</v>
      </c>
      <c r="BA15" s="5"/>
      <c r="BB15" s="5"/>
      <c r="BC15" s="2" t="s">
        <v>243</v>
      </c>
      <c r="BD15" s="6">
        <v>46217.770833333336</v>
      </c>
      <c r="BE15" s="2" t="s">
        <v>148</v>
      </c>
      <c r="BF15" s="2"/>
      <c r="BG15" s="2" t="str">
        <f t="shared" ca="1" si="7"/>
        <v/>
      </c>
      <c r="BH15" s="2" t="str">
        <f t="shared" ca="1" si="8"/>
        <v/>
      </c>
      <c r="BI15" s="3" t="str">
        <f t="shared" ca="1" si="9"/>
        <v/>
      </c>
      <c r="BJ15" s="2" t="str">
        <f t="shared" ca="1" si="10"/>
        <v>不比較</v>
      </c>
    </row>
    <row r="16" spans="1:62" ht="42" customHeight="1">
      <c r="A16" s="2" t="s">
        <v>244</v>
      </c>
      <c r="B16" s="2" t="s">
        <v>245</v>
      </c>
      <c r="C16" s="2" t="s">
        <v>104</v>
      </c>
      <c r="D16" s="2" t="s">
        <v>246</v>
      </c>
      <c r="E16" s="2" t="s">
        <v>158</v>
      </c>
      <c r="F16" s="2" t="s">
        <v>125</v>
      </c>
      <c r="G16" s="2" t="s">
        <v>108</v>
      </c>
      <c r="H16" s="2" t="s">
        <v>126</v>
      </c>
      <c r="I16" s="2" t="s">
        <v>31</v>
      </c>
      <c r="J16" s="2" t="s">
        <v>247</v>
      </c>
      <c r="K16" s="2" t="s">
        <v>188</v>
      </c>
      <c r="L16" s="2" t="str">
        <f>HYPERLINK("https://tw.buy.yahoo.com/gdsale/一午一食-臻純粹滴雞精30入-環保包裝-65ml--8172977.html","開啟商品頁")</f>
        <v>開啟商品頁</v>
      </c>
      <c r="M16" s="2"/>
      <c r="N16" s="4">
        <v>65</v>
      </c>
      <c r="O16" s="4">
        <v>30</v>
      </c>
      <c r="P16" s="4">
        <v>1</v>
      </c>
      <c r="Q16" s="4">
        <v>30</v>
      </c>
      <c r="R16" s="4">
        <v>3</v>
      </c>
      <c r="S16" s="4">
        <v>33</v>
      </c>
      <c r="T16" s="4">
        <f t="shared" si="0"/>
        <v>2145</v>
      </c>
      <c r="U16" s="2" t="s">
        <v>248</v>
      </c>
      <c r="V16" s="2" t="s">
        <v>140</v>
      </c>
      <c r="W16" s="2"/>
      <c r="X16" s="2">
        <v>2875</v>
      </c>
      <c r="Y16" s="2">
        <v>2588</v>
      </c>
      <c r="Z16" s="2">
        <v>2588</v>
      </c>
      <c r="AA16" s="2"/>
      <c r="AB16" s="2">
        <v>2438</v>
      </c>
      <c r="AC16" s="2"/>
      <c r="AD16" s="2"/>
      <c r="AE16" s="2">
        <v>2438</v>
      </c>
      <c r="AF16" s="2">
        <v>0</v>
      </c>
      <c r="AG16" s="2" t="s">
        <v>109</v>
      </c>
      <c r="AH16" s="2">
        <f t="shared" si="1"/>
        <v>86.266666666666666</v>
      </c>
      <c r="AI16" s="2">
        <f t="shared" si="2"/>
        <v>78.424242424242422</v>
      </c>
      <c r="AJ16" s="2">
        <f t="shared" si="3"/>
        <v>120.65268065268064</v>
      </c>
      <c r="AK16" s="2">
        <f t="shared" si="4"/>
        <v>2588</v>
      </c>
      <c r="AL16" s="3">
        <f t="shared" si="5"/>
        <v>9.9826086956521731E-2</v>
      </c>
      <c r="AM16" s="3">
        <f t="shared" si="6"/>
        <v>0.1</v>
      </c>
      <c r="AN16" s="2" t="s">
        <v>249</v>
      </c>
      <c r="AO16" s="2">
        <v>3</v>
      </c>
      <c r="AP16" s="2" t="s">
        <v>250</v>
      </c>
      <c r="AQ16" s="2" t="s">
        <v>251</v>
      </c>
      <c r="AR16" s="2" t="s">
        <v>129</v>
      </c>
      <c r="AS16" s="2" t="s">
        <v>111</v>
      </c>
      <c r="AT16" s="2" t="s">
        <v>111</v>
      </c>
      <c r="AU16" s="2" t="s">
        <v>111</v>
      </c>
      <c r="AV16" s="2" t="s">
        <v>252</v>
      </c>
      <c r="AW16" s="2" t="s">
        <v>111</v>
      </c>
      <c r="AX16" s="2" t="s">
        <v>116</v>
      </c>
      <c r="AY16" s="2" t="s">
        <v>111</v>
      </c>
      <c r="AZ16" s="2" t="s">
        <v>111</v>
      </c>
      <c r="BA16" s="5">
        <v>46216.5</v>
      </c>
      <c r="BB16" s="5">
        <v>46222.5</v>
      </c>
      <c r="BC16" s="2" t="s">
        <v>253</v>
      </c>
      <c r="BD16" s="6">
        <v>46217.770833333336</v>
      </c>
      <c r="BE16" s="2" t="s">
        <v>148</v>
      </c>
      <c r="BF16" s="2" t="s">
        <v>254</v>
      </c>
      <c r="BG16" s="2" t="str">
        <f t="shared" ca="1" si="7"/>
        <v/>
      </c>
      <c r="BH16" s="2" t="str">
        <f t="shared" ca="1" si="8"/>
        <v/>
      </c>
      <c r="BI16" s="3" t="str">
        <f t="shared" ca="1" si="9"/>
        <v/>
      </c>
      <c r="BJ16" s="2" t="str">
        <f t="shared" ca="1" si="10"/>
        <v>不比較</v>
      </c>
    </row>
    <row r="17" spans="1:62" ht="42" customHeight="1">
      <c r="A17" s="2" t="s">
        <v>255</v>
      </c>
      <c r="B17" s="2" t="s">
        <v>256</v>
      </c>
      <c r="C17" s="2" t="s">
        <v>104</v>
      </c>
      <c r="D17" s="2" t="s">
        <v>257</v>
      </c>
      <c r="E17" s="2" t="s">
        <v>158</v>
      </c>
      <c r="F17" s="2" t="s">
        <v>258</v>
      </c>
      <c r="G17" s="2" t="s">
        <v>108</v>
      </c>
      <c r="H17" s="2" t="s">
        <v>109</v>
      </c>
      <c r="I17" s="2" t="s">
        <v>31</v>
      </c>
      <c r="J17" s="2" t="s">
        <v>247</v>
      </c>
      <c r="K17" s="2" t="s">
        <v>188</v>
      </c>
      <c r="L17" s="2" t="str">
        <f>HYPERLINK("https://tw.buy.yahoo.com/gdsale/一午一食-臻純粹滴雞精10入禮盒-六種口味任選-10693501.html","開啟商品頁")</f>
        <v>開啟商品頁</v>
      </c>
      <c r="M17" s="2"/>
      <c r="N17" s="4">
        <v>65</v>
      </c>
      <c r="O17" s="4">
        <v>10</v>
      </c>
      <c r="P17" s="4">
        <v>1</v>
      </c>
      <c r="Q17" s="4">
        <v>10</v>
      </c>
      <c r="R17" s="4">
        <v>0</v>
      </c>
      <c r="S17" s="4">
        <v>10</v>
      </c>
      <c r="T17" s="4">
        <f t="shared" si="0"/>
        <v>650</v>
      </c>
      <c r="U17" s="2" t="s">
        <v>110</v>
      </c>
      <c r="V17" s="2" t="s">
        <v>140</v>
      </c>
      <c r="W17" s="2"/>
      <c r="X17" s="2">
        <v>1880</v>
      </c>
      <c r="Y17" s="2">
        <v>1099</v>
      </c>
      <c r="Z17" s="2">
        <v>1099</v>
      </c>
      <c r="AA17" s="2"/>
      <c r="AB17" s="2">
        <v>949</v>
      </c>
      <c r="AC17" s="2"/>
      <c r="AD17" s="2"/>
      <c r="AE17" s="2">
        <v>949</v>
      </c>
      <c r="AF17" s="2">
        <v>0</v>
      </c>
      <c r="AG17" s="2" t="s">
        <v>109</v>
      </c>
      <c r="AH17" s="2">
        <f t="shared" si="1"/>
        <v>109.9</v>
      </c>
      <c r="AI17" s="2">
        <f t="shared" si="2"/>
        <v>109.9</v>
      </c>
      <c r="AJ17" s="2">
        <f t="shared" si="3"/>
        <v>169.07692307692309</v>
      </c>
      <c r="AK17" s="2">
        <f t="shared" si="4"/>
        <v>1099</v>
      </c>
      <c r="AL17" s="3">
        <f t="shared" si="5"/>
        <v>0.41542553191489362</v>
      </c>
      <c r="AM17" s="3">
        <f t="shared" si="6"/>
        <v>0</v>
      </c>
      <c r="AN17" s="2" t="s">
        <v>259</v>
      </c>
      <c r="AO17" s="2">
        <v>1</v>
      </c>
      <c r="AP17" s="2" t="s">
        <v>260</v>
      </c>
      <c r="AQ17" s="2" t="s">
        <v>261</v>
      </c>
      <c r="AR17" s="2" t="s">
        <v>262</v>
      </c>
      <c r="AS17" s="2" t="s">
        <v>111</v>
      </c>
      <c r="AT17" s="2" t="s">
        <v>111</v>
      </c>
      <c r="AU17" s="2" t="s">
        <v>111</v>
      </c>
      <c r="AV17" s="2" t="s">
        <v>263</v>
      </c>
      <c r="AW17" s="2" t="s">
        <v>111</v>
      </c>
      <c r="AX17" s="2" t="s">
        <v>116</v>
      </c>
      <c r="AY17" s="2" t="s">
        <v>111</v>
      </c>
      <c r="AZ17" s="2" t="s">
        <v>111</v>
      </c>
      <c r="BA17" s="5">
        <v>46216.5</v>
      </c>
      <c r="BB17" s="5">
        <v>46222.5</v>
      </c>
      <c r="BC17" s="2" t="s">
        <v>264</v>
      </c>
      <c r="BD17" s="6">
        <v>46217.770833333336</v>
      </c>
      <c r="BE17" s="2" t="s">
        <v>118</v>
      </c>
      <c r="BF17" s="2"/>
      <c r="BG17" s="2" t="str">
        <f t="shared" ca="1" si="7"/>
        <v/>
      </c>
      <c r="BH17" s="2" t="str">
        <f t="shared" ca="1" si="8"/>
        <v/>
      </c>
      <c r="BI17" s="3" t="str">
        <f t="shared" ca="1" si="9"/>
        <v/>
      </c>
      <c r="BJ17" s="2" t="str">
        <f t="shared" ca="1" si="10"/>
        <v>不比較</v>
      </c>
    </row>
    <row r="18" spans="1:62" ht="42" customHeight="1">
      <c r="A18" s="2" t="s">
        <v>265</v>
      </c>
      <c r="B18" s="2" t="s">
        <v>266</v>
      </c>
      <c r="C18" s="2" t="s">
        <v>229</v>
      </c>
      <c r="D18" s="2" t="s">
        <v>267</v>
      </c>
      <c r="E18" s="2" t="s">
        <v>268</v>
      </c>
      <c r="F18" s="2" t="s">
        <v>269</v>
      </c>
      <c r="G18" s="2" t="s">
        <v>108</v>
      </c>
      <c r="H18" s="2" t="s">
        <v>109</v>
      </c>
      <c r="I18" s="2" t="s">
        <v>31</v>
      </c>
      <c r="J18" s="2" t="s">
        <v>247</v>
      </c>
      <c r="K18" s="2" t="s">
        <v>188</v>
      </c>
      <c r="L18" s="2" t="str">
        <f>HYPERLINK("https://tw.buy.yahoo.com/gdsale/田原香-四神滴雞精20入-60ml-8258754.html","開啟商品頁")</f>
        <v>開啟商品頁</v>
      </c>
      <c r="M18" s="2"/>
      <c r="N18" s="4">
        <v>60</v>
      </c>
      <c r="O18" s="4">
        <v>20</v>
      </c>
      <c r="P18" s="4">
        <v>1</v>
      </c>
      <c r="Q18" s="4">
        <v>20</v>
      </c>
      <c r="R18" s="4">
        <v>0</v>
      </c>
      <c r="S18" s="4">
        <v>20</v>
      </c>
      <c r="T18" s="4">
        <f t="shared" si="0"/>
        <v>1200</v>
      </c>
      <c r="U18" s="2" t="s">
        <v>110</v>
      </c>
      <c r="V18" s="2" t="s">
        <v>200</v>
      </c>
      <c r="W18" s="2"/>
      <c r="X18" s="2">
        <v>3350</v>
      </c>
      <c r="Y18" s="2">
        <v>3115</v>
      </c>
      <c r="Z18" s="2">
        <v>3115</v>
      </c>
      <c r="AA18" s="2"/>
      <c r="AB18" s="2">
        <v>2965</v>
      </c>
      <c r="AC18" s="2"/>
      <c r="AD18" s="2"/>
      <c r="AE18" s="2">
        <v>2965</v>
      </c>
      <c r="AF18" s="2">
        <v>0</v>
      </c>
      <c r="AG18" s="2" t="s">
        <v>109</v>
      </c>
      <c r="AH18" s="2">
        <f t="shared" si="1"/>
        <v>155.75</v>
      </c>
      <c r="AI18" s="2">
        <f t="shared" si="2"/>
        <v>155.75</v>
      </c>
      <c r="AJ18" s="2">
        <f t="shared" si="3"/>
        <v>259.58333333333331</v>
      </c>
      <c r="AK18" s="2">
        <f t="shared" si="4"/>
        <v>3115</v>
      </c>
      <c r="AL18" s="3">
        <f t="shared" si="5"/>
        <v>7.0149253731343286E-2</v>
      </c>
      <c r="AM18" s="3">
        <f t="shared" si="6"/>
        <v>0</v>
      </c>
      <c r="AN18" s="2" t="s">
        <v>128</v>
      </c>
      <c r="AO18" s="2">
        <v>0</v>
      </c>
      <c r="AP18" s="2" t="s">
        <v>128</v>
      </c>
      <c r="AQ18" s="2" t="s">
        <v>128</v>
      </c>
      <c r="AR18" s="2" t="s">
        <v>270</v>
      </c>
      <c r="AS18" s="2" t="s">
        <v>111</v>
      </c>
      <c r="AT18" s="2" t="s">
        <v>111</v>
      </c>
      <c r="AU18" s="2" t="s">
        <v>111</v>
      </c>
      <c r="AV18" s="2" t="s">
        <v>271</v>
      </c>
      <c r="AW18" s="2" t="s">
        <v>111</v>
      </c>
      <c r="AX18" s="2" t="s">
        <v>116</v>
      </c>
      <c r="AY18" s="2" t="s">
        <v>111</v>
      </c>
      <c r="AZ18" s="2" t="s">
        <v>200</v>
      </c>
      <c r="BA18" s="5">
        <v>46216.5</v>
      </c>
      <c r="BB18" s="5">
        <v>46222.5</v>
      </c>
      <c r="BC18" s="2" t="s">
        <v>272</v>
      </c>
      <c r="BD18" s="6">
        <v>46217.770833333336</v>
      </c>
      <c r="BE18" s="2" t="s">
        <v>118</v>
      </c>
      <c r="BF18" s="2"/>
      <c r="BG18" s="2" t="str">
        <f t="shared" ca="1" si="7"/>
        <v/>
      </c>
      <c r="BH18" s="2" t="str">
        <f t="shared" ca="1" si="8"/>
        <v/>
      </c>
      <c r="BI18" s="3" t="str">
        <f t="shared" ca="1" si="9"/>
        <v/>
      </c>
      <c r="BJ18" s="2" t="str">
        <f t="shared" ca="1" si="10"/>
        <v>不比較</v>
      </c>
    </row>
    <row r="19" spans="1:62" ht="42" customHeight="1">
      <c r="A19" s="2" t="s">
        <v>273</v>
      </c>
      <c r="B19" s="2" t="s">
        <v>274</v>
      </c>
      <c r="C19" s="2" t="s">
        <v>275</v>
      </c>
      <c r="D19" s="2" t="s">
        <v>276</v>
      </c>
      <c r="E19" s="2" t="s">
        <v>139</v>
      </c>
      <c r="F19" s="2" t="s">
        <v>125</v>
      </c>
      <c r="G19" s="2" t="s">
        <v>108</v>
      </c>
      <c r="H19" s="2" t="s">
        <v>126</v>
      </c>
      <c r="I19" s="2" t="s">
        <v>33</v>
      </c>
      <c r="J19" s="2" t="s">
        <v>277</v>
      </c>
      <c r="K19" s="2" t="s">
        <v>109</v>
      </c>
      <c r="L19" s="2" t="str">
        <f>HYPERLINK("https://shopee.tw/【大成食品】慢熬常溫雞精(50ml-7包-盒)-雙盒組加送美心皇家保鮮盒-i.302162413.24116087687","開啟商品頁")</f>
        <v>開啟商品頁</v>
      </c>
      <c r="M19" s="2"/>
      <c r="N19" s="4">
        <v>50</v>
      </c>
      <c r="O19" s="4">
        <v>7</v>
      </c>
      <c r="P19" s="4">
        <v>2</v>
      </c>
      <c r="Q19" s="4">
        <v>14</v>
      </c>
      <c r="R19" s="4">
        <v>0</v>
      </c>
      <c r="S19" s="4">
        <v>14</v>
      </c>
      <c r="T19" s="4">
        <f t="shared" si="0"/>
        <v>700</v>
      </c>
      <c r="U19" s="2" t="s">
        <v>110</v>
      </c>
      <c r="V19" s="2" t="s">
        <v>140</v>
      </c>
      <c r="W19" s="2"/>
      <c r="X19" s="2">
        <v>1820</v>
      </c>
      <c r="Y19" s="2"/>
      <c r="Z19" s="2">
        <v>659</v>
      </c>
      <c r="AA19" s="2"/>
      <c r="AB19" s="2"/>
      <c r="AC19" s="2"/>
      <c r="AD19" s="2"/>
      <c r="AE19" s="2">
        <v>599</v>
      </c>
      <c r="AF19" s="2">
        <v>0</v>
      </c>
      <c r="AG19" s="2" t="s">
        <v>109</v>
      </c>
      <c r="AH19" s="2">
        <f t="shared" si="1"/>
        <v>0</v>
      </c>
      <c r="AI19" s="2">
        <f t="shared" si="2"/>
        <v>0</v>
      </c>
      <c r="AJ19" s="2">
        <f t="shared" si="3"/>
        <v>0</v>
      </c>
      <c r="AK19" s="2">
        <f t="shared" si="4"/>
        <v>0</v>
      </c>
      <c r="AL19" s="3">
        <f t="shared" si="5"/>
        <v>1</v>
      </c>
      <c r="AM19" s="3">
        <f t="shared" si="6"/>
        <v>0</v>
      </c>
      <c r="AN19" s="2" t="s">
        <v>278</v>
      </c>
      <c r="AO19" s="2">
        <v>1</v>
      </c>
      <c r="AP19" s="2" t="s">
        <v>111</v>
      </c>
      <c r="AQ19" s="2" t="s">
        <v>279</v>
      </c>
      <c r="AR19" s="2" t="s">
        <v>129</v>
      </c>
      <c r="AS19" s="2" t="s">
        <v>111</v>
      </c>
      <c r="AT19" s="2" t="s">
        <v>111</v>
      </c>
      <c r="AU19" s="2" t="s">
        <v>111</v>
      </c>
      <c r="AV19" s="2" t="s">
        <v>128</v>
      </c>
      <c r="AW19" s="2" t="s">
        <v>111</v>
      </c>
      <c r="AX19" s="2" t="s">
        <v>116</v>
      </c>
      <c r="AY19" s="2" t="s">
        <v>280</v>
      </c>
      <c r="AZ19" s="2" t="s">
        <v>140</v>
      </c>
      <c r="BA19" s="5"/>
      <c r="BB19" s="5"/>
      <c r="BC19" s="2" t="s">
        <v>281</v>
      </c>
      <c r="BD19" s="6">
        <v>46217.770833333336</v>
      </c>
      <c r="BE19" s="2" t="s">
        <v>166</v>
      </c>
      <c r="BF19" s="2" t="s">
        <v>282</v>
      </c>
      <c r="BG19" s="2" t="str">
        <f t="shared" si="7"/>
        <v/>
      </c>
      <c r="BH19" s="2" t="str">
        <f t="shared" si="8"/>
        <v/>
      </c>
      <c r="BI19" s="3" t="str">
        <f t="shared" si="9"/>
        <v/>
      </c>
      <c r="BJ19" s="2" t="str">
        <f t="shared" si="10"/>
        <v>不比較</v>
      </c>
    </row>
    <row r="20" spans="1:62" ht="42" customHeight="1">
      <c r="A20" s="2" t="s">
        <v>283</v>
      </c>
      <c r="B20" s="2" t="s">
        <v>136</v>
      </c>
      <c r="C20" s="2" t="s">
        <v>137</v>
      </c>
      <c r="D20" s="2" t="s">
        <v>284</v>
      </c>
      <c r="E20" s="2" t="s">
        <v>139</v>
      </c>
      <c r="F20" s="2" t="s">
        <v>125</v>
      </c>
      <c r="G20" s="2" t="s">
        <v>108</v>
      </c>
      <c r="H20" s="2" t="s">
        <v>109</v>
      </c>
      <c r="I20" s="2" t="s">
        <v>33</v>
      </c>
      <c r="J20" s="2" t="s">
        <v>285</v>
      </c>
      <c r="K20" s="2" t="s">
        <v>109</v>
      </c>
      <c r="L20" s="2" t="str">
        <f>HYPERLINK("https://shopee.tw/【老協珍】熬雞精14入(常溫-健字號-術後保養-補充體力)官方直營-i.340883229.4164754697","開啟商品頁")</f>
        <v>開啟商品頁</v>
      </c>
      <c r="M20" s="2"/>
      <c r="N20" s="4">
        <v>42</v>
      </c>
      <c r="O20" s="4">
        <v>14</v>
      </c>
      <c r="P20" s="4">
        <v>1</v>
      </c>
      <c r="Q20" s="4">
        <v>14</v>
      </c>
      <c r="R20" s="4">
        <v>0</v>
      </c>
      <c r="S20" s="4">
        <v>14</v>
      </c>
      <c r="T20" s="4">
        <f t="shared" si="0"/>
        <v>588</v>
      </c>
      <c r="U20" s="2" t="s">
        <v>110</v>
      </c>
      <c r="V20" s="2" t="s">
        <v>140</v>
      </c>
      <c r="W20" s="2"/>
      <c r="X20" s="2">
        <v>2240</v>
      </c>
      <c r="Y20" s="2">
        <v>1680</v>
      </c>
      <c r="Z20" s="2">
        <v>1680</v>
      </c>
      <c r="AA20" s="2"/>
      <c r="AB20" s="2"/>
      <c r="AC20" s="2"/>
      <c r="AD20" s="2"/>
      <c r="AE20" s="2"/>
      <c r="AF20" s="2">
        <v>0</v>
      </c>
      <c r="AG20" s="2" t="s">
        <v>109</v>
      </c>
      <c r="AH20" s="2">
        <f t="shared" si="1"/>
        <v>120</v>
      </c>
      <c r="AI20" s="2">
        <f t="shared" si="2"/>
        <v>120</v>
      </c>
      <c r="AJ20" s="2">
        <f t="shared" si="3"/>
        <v>285.71428571428572</v>
      </c>
      <c r="AK20" s="2">
        <f t="shared" si="4"/>
        <v>1680</v>
      </c>
      <c r="AL20" s="3">
        <f t="shared" si="5"/>
        <v>0.25</v>
      </c>
      <c r="AM20" s="3">
        <f t="shared" si="6"/>
        <v>0</v>
      </c>
      <c r="AN20" s="2" t="s">
        <v>286</v>
      </c>
      <c r="AO20" s="2">
        <v>0</v>
      </c>
      <c r="AP20" s="2" t="s">
        <v>111</v>
      </c>
      <c r="AQ20" s="2" t="s">
        <v>287</v>
      </c>
      <c r="AR20" s="2" t="s">
        <v>142</v>
      </c>
      <c r="AS20" s="2" t="s">
        <v>111</v>
      </c>
      <c r="AT20" s="2" t="s">
        <v>111</v>
      </c>
      <c r="AU20" s="2" t="s">
        <v>111</v>
      </c>
      <c r="AV20" s="2" t="s">
        <v>288</v>
      </c>
      <c r="AW20" s="2" t="s">
        <v>144</v>
      </c>
      <c r="AX20" s="2" t="s">
        <v>116</v>
      </c>
      <c r="AY20" s="2" t="s">
        <v>145</v>
      </c>
      <c r="AZ20" s="2" t="s">
        <v>140</v>
      </c>
      <c r="BA20" s="5"/>
      <c r="BB20" s="5"/>
      <c r="BC20" s="2" t="s">
        <v>289</v>
      </c>
      <c r="BD20" s="6">
        <v>46217.770833333336</v>
      </c>
      <c r="BE20" s="2" t="s">
        <v>118</v>
      </c>
      <c r="BF20" s="2"/>
      <c r="BG20" s="2" t="str">
        <f t="shared" ca="1" si="7"/>
        <v/>
      </c>
      <c r="BH20" s="2" t="str">
        <f t="shared" ca="1" si="8"/>
        <v/>
      </c>
      <c r="BI20" s="3" t="str">
        <f t="shared" ca="1" si="9"/>
        <v/>
      </c>
      <c r="BJ20" s="2" t="str">
        <f t="shared" ca="1" si="10"/>
        <v>不比較</v>
      </c>
    </row>
    <row r="21" spans="1:62" ht="42" customHeight="1">
      <c r="A21" s="2" t="s">
        <v>290</v>
      </c>
      <c r="B21" s="2" t="s">
        <v>136</v>
      </c>
      <c r="C21" s="2" t="s">
        <v>137</v>
      </c>
      <c r="D21" s="2" t="s">
        <v>291</v>
      </c>
      <c r="E21" s="2" t="s">
        <v>139</v>
      </c>
      <c r="F21" s="2" t="s">
        <v>292</v>
      </c>
      <c r="G21" s="2" t="s">
        <v>108</v>
      </c>
      <c r="H21" s="2" t="s">
        <v>126</v>
      </c>
      <c r="I21" s="2" t="s">
        <v>33</v>
      </c>
      <c r="J21" s="2" t="s">
        <v>293</v>
      </c>
      <c r="K21" s="2" t="s">
        <v>294</v>
      </c>
      <c r="L21" s="2" t="str">
        <f>HYPERLINK("https://shopee.tw/【蝦皮直營】老協珍熬雞精(經典原味-暖薑-紅棗枸杞)-14入-盒-i.50662979.43324619813","開啟商品頁")</f>
        <v>開啟商品頁</v>
      </c>
      <c r="M21" s="2"/>
      <c r="N21" s="4">
        <v>42</v>
      </c>
      <c r="O21" s="4">
        <v>14</v>
      </c>
      <c r="P21" s="4">
        <v>1</v>
      </c>
      <c r="Q21" s="4">
        <v>14</v>
      </c>
      <c r="R21" s="4">
        <v>0</v>
      </c>
      <c r="S21" s="4">
        <v>14</v>
      </c>
      <c r="T21" s="4">
        <f t="shared" si="0"/>
        <v>588</v>
      </c>
      <c r="U21" s="2" t="s">
        <v>110</v>
      </c>
      <c r="V21" s="2" t="s">
        <v>140</v>
      </c>
      <c r="W21" s="2"/>
      <c r="X21" s="2"/>
      <c r="Y21" s="2"/>
      <c r="Z21" s="2"/>
      <c r="AA21" s="2"/>
      <c r="AB21" s="2">
        <v>1510</v>
      </c>
      <c r="AC21" s="2"/>
      <c r="AD21" s="2"/>
      <c r="AE21" s="2">
        <v>1510</v>
      </c>
      <c r="AF21" s="2">
        <v>0</v>
      </c>
      <c r="AG21" s="2" t="s">
        <v>109</v>
      </c>
      <c r="AH21" s="2">
        <f t="shared" si="1"/>
        <v>0</v>
      </c>
      <c r="AI21" s="2">
        <f t="shared" si="2"/>
        <v>0</v>
      </c>
      <c r="AJ21" s="2">
        <f t="shared" si="3"/>
        <v>0</v>
      </c>
      <c r="AK21" s="2">
        <f t="shared" si="4"/>
        <v>0</v>
      </c>
      <c r="AL21" s="3" t="str">
        <f t="shared" si="5"/>
        <v/>
      </c>
      <c r="AM21" s="3">
        <f t="shared" si="6"/>
        <v>0</v>
      </c>
      <c r="AN21" s="2" t="s">
        <v>128</v>
      </c>
      <c r="AO21" s="2">
        <v>0</v>
      </c>
      <c r="AP21" s="2" t="s">
        <v>128</v>
      </c>
      <c r="AQ21" s="2" t="s">
        <v>128</v>
      </c>
      <c r="AR21" s="2" t="s">
        <v>295</v>
      </c>
      <c r="AS21" s="2" t="s">
        <v>111</v>
      </c>
      <c r="AT21" s="2" t="s">
        <v>111</v>
      </c>
      <c r="AU21" s="2" t="s">
        <v>111</v>
      </c>
      <c r="AV21" s="2" t="s">
        <v>128</v>
      </c>
      <c r="AW21" s="2" t="s">
        <v>111</v>
      </c>
      <c r="AX21" s="2" t="s">
        <v>116</v>
      </c>
      <c r="AY21" s="2" t="s">
        <v>111</v>
      </c>
      <c r="AZ21" s="2" t="s">
        <v>140</v>
      </c>
      <c r="BA21" s="5">
        <v>46218.5</v>
      </c>
      <c r="BB21" s="5"/>
      <c r="BC21" s="2" t="s">
        <v>296</v>
      </c>
      <c r="BD21" s="6">
        <v>46217.770833333336</v>
      </c>
      <c r="BE21" s="2" t="s">
        <v>166</v>
      </c>
      <c r="BF21" s="2" t="s">
        <v>297</v>
      </c>
      <c r="BG21" s="2" t="str">
        <f t="shared" si="7"/>
        <v/>
      </c>
      <c r="BH21" s="2" t="str">
        <f t="shared" si="8"/>
        <v/>
      </c>
      <c r="BI21" s="3" t="str">
        <f t="shared" si="9"/>
        <v/>
      </c>
      <c r="BJ21" s="2" t="str">
        <f t="shared" si="10"/>
        <v>不比較</v>
      </c>
    </row>
    <row r="22" spans="1:62" ht="42" customHeight="1">
      <c r="A22" s="2" t="s">
        <v>298</v>
      </c>
      <c r="B22" s="2" t="s">
        <v>299</v>
      </c>
      <c r="C22" s="2" t="s">
        <v>300</v>
      </c>
      <c r="D22" s="2" t="s">
        <v>301</v>
      </c>
      <c r="E22" s="2" t="s">
        <v>302</v>
      </c>
      <c r="F22" s="2" t="s">
        <v>303</v>
      </c>
      <c r="G22" s="2" t="s">
        <v>108</v>
      </c>
      <c r="H22" s="2" t="s">
        <v>109</v>
      </c>
      <c r="I22" s="2" t="s">
        <v>33</v>
      </c>
      <c r="J22" s="2" t="s">
        <v>304</v>
      </c>
      <c r="K22" s="2" t="s">
        <v>109</v>
      </c>
      <c r="L22" s="2" t="str">
        <f>HYPERLINK("https://shopee.tw/白蘭氏萃雞精-膠原蛋白菁萃(42ml-x-9入)-官方直營-i.858605061.23314295357","開啟商品頁")</f>
        <v>開啟商品頁</v>
      </c>
      <c r="M22" s="2"/>
      <c r="N22" s="4">
        <v>42</v>
      </c>
      <c r="O22" s="4">
        <v>9</v>
      </c>
      <c r="P22" s="4">
        <v>1</v>
      </c>
      <c r="Q22" s="4">
        <v>9</v>
      </c>
      <c r="R22" s="4">
        <v>0</v>
      </c>
      <c r="S22" s="4">
        <v>9</v>
      </c>
      <c r="T22" s="4">
        <f t="shared" si="0"/>
        <v>378</v>
      </c>
      <c r="U22" s="2" t="s">
        <v>110</v>
      </c>
      <c r="V22" s="2" t="s">
        <v>140</v>
      </c>
      <c r="W22" s="2"/>
      <c r="X22" s="2">
        <v>1128</v>
      </c>
      <c r="Y22" s="2">
        <v>939</v>
      </c>
      <c r="Z22" s="2">
        <v>939</v>
      </c>
      <c r="AA22" s="2"/>
      <c r="AB22" s="2"/>
      <c r="AC22" s="2"/>
      <c r="AD22" s="2"/>
      <c r="AE22" s="2"/>
      <c r="AF22" s="2">
        <v>0</v>
      </c>
      <c r="AG22" s="2" t="s">
        <v>109</v>
      </c>
      <c r="AH22" s="2">
        <f t="shared" si="1"/>
        <v>104.33333333333333</v>
      </c>
      <c r="AI22" s="2">
        <f t="shared" si="2"/>
        <v>104.33333333333333</v>
      </c>
      <c r="AJ22" s="2">
        <f t="shared" si="3"/>
        <v>248.41269841269843</v>
      </c>
      <c r="AK22" s="2">
        <f t="shared" si="4"/>
        <v>939</v>
      </c>
      <c r="AL22" s="3">
        <f t="shared" si="5"/>
        <v>0.16755319148936165</v>
      </c>
      <c r="AM22" s="3">
        <f t="shared" si="6"/>
        <v>0</v>
      </c>
      <c r="AN22" s="2" t="s">
        <v>286</v>
      </c>
      <c r="AO22" s="2">
        <v>0</v>
      </c>
      <c r="AP22" s="2" t="s">
        <v>111</v>
      </c>
      <c r="AQ22" s="2" t="s">
        <v>305</v>
      </c>
      <c r="AR22" s="2" t="s">
        <v>129</v>
      </c>
      <c r="AS22" s="2" t="s">
        <v>111</v>
      </c>
      <c r="AT22" s="2" t="s">
        <v>111</v>
      </c>
      <c r="AU22" s="2" t="s">
        <v>111</v>
      </c>
      <c r="AV22" s="2" t="s">
        <v>306</v>
      </c>
      <c r="AW22" s="2" t="s">
        <v>111</v>
      </c>
      <c r="AX22" s="2" t="s">
        <v>116</v>
      </c>
      <c r="AY22" s="2" t="s">
        <v>174</v>
      </c>
      <c r="AZ22" s="2" t="s">
        <v>140</v>
      </c>
      <c r="BA22" s="5"/>
      <c r="BB22" s="5"/>
      <c r="BC22" s="2" t="s">
        <v>307</v>
      </c>
      <c r="BD22" s="6">
        <v>46217.770833333336</v>
      </c>
      <c r="BE22" s="2" t="s">
        <v>118</v>
      </c>
      <c r="BF22" s="2"/>
      <c r="BG22" s="2" t="str">
        <f t="shared" ca="1" si="7"/>
        <v/>
      </c>
      <c r="BH22" s="2" t="str">
        <f t="shared" ca="1" si="8"/>
        <v/>
      </c>
      <c r="BI22" s="3" t="str">
        <f t="shared" ca="1" si="9"/>
        <v/>
      </c>
      <c r="BJ22" s="2" t="str">
        <f t="shared" ca="1" si="10"/>
        <v>不比較</v>
      </c>
    </row>
    <row r="23" spans="1:62" ht="42" customHeight="1">
      <c r="A23" s="2" t="s">
        <v>308</v>
      </c>
      <c r="B23" s="2" t="s">
        <v>309</v>
      </c>
      <c r="C23" s="2" t="s">
        <v>310</v>
      </c>
      <c r="D23" s="2" t="s">
        <v>311</v>
      </c>
      <c r="E23" s="2" t="s">
        <v>158</v>
      </c>
      <c r="F23" s="2" t="s">
        <v>125</v>
      </c>
      <c r="G23" s="2" t="s">
        <v>108</v>
      </c>
      <c r="H23" s="2" t="s">
        <v>109</v>
      </c>
      <c r="I23" s="2" t="s">
        <v>36</v>
      </c>
      <c r="J23" s="2" t="s">
        <v>312</v>
      </c>
      <c r="K23" s="2" t="s">
        <v>188</v>
      </c>
      <c r="L23" s="2" t="str">
        <f>HYPERLINK("https://www.costco.com.tw/c/Shih-An-Farm-Chicken-Essence-65-ml-X-16-Pack/p/130795","開啟商品頁")</f>
        <v>開啟商品頁</v>
      </c>
      <c r="M23" s="2"/>
      <c r="N23" s="4">
        <v>65</v>
      </c>
      <c r="O23" s="4">
        <v>16</v>
      </c>
      <c r="P23" s="4">
        <v>1</v>
      </c>
      <c r="Q23" s="4">
        <v>16</v>
      </c>
      <c r="R23" s="4">
        <v>0</v>
      </c>
      <c r="S23" s="4">
        <v>16</v>
      </c>
      <c r="T23" s="4">
        <f t="shared" si="0"/>
        <v>1040</v>
      </c>
      <c r="U23" s="2" t="s">
        <v>110</v>
      </c>
      <c r="V23" s="2" t="s">
        <v>140</v>
      </c>
      <c r="W23" s="2"/>
      <c r="X23" s="2"/>
      <c r="Y23" s="2">
        <v>1625</v>
      </c>
      <c r="Z23" s="2"/>
      <c r="AA23" s="2"/>
      <c r="AB23" s="2"/>
      <c r="AC23" s="2"/>
      <c r="AD23" s="2"/>
      <c r="AE23" s="2"/>
      <c r="AF23" s="2">
        <v>0</v>
      </c>
      <c r="AG23" s="2" t="s">
        <v>313</v>
      </c>
      <c r="AH23" s="2">
        <f t="shared" si="1"/>
        <v>101.5625</v>
      </c>
      <c r="AI23" s="2">
        <f t="shared" si="2"/>
        <v>101.5625</v>
      </c>
      <c r="AJ23" s="2">
        <f t="shared" si="3"/>
        <v>156.25</v>
      </c>
      <c r="AK23" s="2">
        <f t="shared" si="4"/>
        <v>1625</v>
      </c>
      <c r="AL23" s="3" t="str">
        <f t="shared" si="5"/>
        <v/>
      </c>
      <c r="AM23" s="3">
        <f t="shared" si="6"/>
        <v>0</v>
      </c>
      <c r="AN23" s="2" t="s">
        <v>128</v>
      </c>
      <c r="AO23" s="2">
        <v>0</v>
      </c>
      <c r="AP23" s="2" t="s">
        <v>128</v>
      </c>
      <c r="AQ23" s="2" t="s">
        <v>128</v>
      </c>
      <c r="AR23" s="2" t="s">
        <v>314</v>
      </c>
      <c r="AS23" s="2" t="s">
        <v>315</v>
      </c>
      <c r="AT23" s="2" t="s">
        <v>111</v>
      </c>
      <c r="AU23" s="2" t="s">
        <v>111</v>
      </c>
      <c r="AV23" s="2" t="s">
        <v>316</v>
      </c>
      <c r="AW23" s="2" t="s">
        <v>317</v>
      </c>
      <c r="AX23" s="2" t="s">
        <v>116</v>
      </c>
      <c r="AY23" s="2" t="s">
        <v>111</v>
      </c>
      <c r="AZ23" s="2" t="s">
        <v>140</v>
      </c>
      <c r="BA23" s="5"/>
      <c r="BB23" s="5"/>
      <c r="BC23" s="2" t="s">
        <v>318</v>
      </c>
      <c r="BD23" s="6">
        <v>46217.770833333336</v>
      </c>
      <c r="BE23" s="2" t="s">
        <v>148</v>
      </c>
      <c r="BF23" s="2"/>
      <c r="BG23" s="2" t="str">
        <f t="shared" ca="1" si="7"/>
        <v/>
      </c>
      <c r="BH23" s="2" t="str">
        <f t="shared" ca="1" si="8"/>
        <v/>
      </c>
      <c r="BI23" s="3" t="str">
        <f t="shared" ca="1" si="9"/>
        <v/>
      </c>
      <c r="BJ23" s="2" t="str">
        <f t="shared" ca="1" si="10"/>
        <v>不比較</v>
      </c>
    </row>
    <row r="24" spans="1:62" ht="42" customHeight="1">
      <c r="A24" s="2" t="s">
        <v>319</v>
      </c>
      <c r="B24" s="2" t="s">
        <v>320</v>
      </c>
      <c r="C24" s="2" t="s">
        <v>137</v>
      </c>
      <c r="D24" s="2" t="s">
        <v>321</v>
      </c>
      <c r="E24" s="2" t="s">
        <v>322</v>
      </c>
      <c r="F24" s="2" t="s">
        <v>125</v>
      </c>
      <c r="G24" s="2" t="s">
        <v>108</v>
      </c>
      <c r="H24" s="2" t="s">
        <v>126</v>
      </c>
      <c r="I24" s="2" t="s">
        <v>36</v>
      </c>
      <c r="J24" s="2" t="s">
        <v>312</v>
      </c>
      <c r="K24" s="2" t="s">
        <v>188</v>
      </c>
      <c r="L24" s="2" t="str">
        <f>HYPERLINK("https://www.costco.com.tw/Health-Beauty/Elderly-Care/Supplements/Lao-Xie-Zhen-Frozen-Chicken-Essence-68-ml-X-30-Pack/p/118552","開啟商品頁")</f>
        <v>開啟商品頁</v>
      </c>
      <c r="M24" s="2"/>
      <c r="N24" s="4">
        <v>68</v>
      </c>
      <c r="O24" s="4">
        <v>30</v>
      </c>
      <c r="P24" s="4">
        <v>1</v>
      </c>
      <c r="Q24" s="4">
        <v>30</v>
      </c>
      <c r="R24" s="4">
        <v>0</v>
      </c>
      <c r="S24" s="4">
        <v>30</v>
      </c>
      <c r="T24" s="4">
        <f t="shared" si="0"/>
        <v>2040</v>
      </c>
      <c r="U24" s="2" t="s">
        <v>110</v>
      </c>
      <c r="V24" s="2" t="s">
        <v>200</v>
      </c>
      <c r="W24" s="2"/>
      <c r="X24" s="2"/>
      <c r="Y24" s="2">
        <v>3999</v>
      </c>
      <c r="Z24" s="2"/>
      <c r="AA24" s="2"/>
      <c r="AB24" s="2"/>
      <c r="AC24" s="2"/>
      <c r="AD24" s="2"/>
      <c r="AE24" s="2"/>
      <c r="AF24" s="2">
        <v>0</v>
      </c>
      <c r="AG24" s="2" t="s">
        <v>313</v>
      </c>
      <c r="AH24" s="2">
        <f t="shared" si="1"/>
        <v>133.30000000000001</v>
      </c>
      <c r="AI24" s="2">
        <f t="shared" si="2"/>
        <v>133.30000000000001</v>
      </c>
      <c r="AJ24" s="2">
        <f t="shared" si="3"/>
        <v>196.02941176470588</v>
      </c>
      <c r="AK24" s="2">
        <f t="shared" si="4"/>
        <v>3999</v>
      </c>
      <c r="AL24" s="3" t="str">
        <f t="shared" si="5"/>
        <v/>
      </c>
      <c r="AM24" s="3">
        <f t="shared" si="6"/>
        <v>0</v>
      </c>
      <c r="AN24" s="2" t="s">
        <v>128</v>
      </c>
      <c r="AO24" s="2">
        <v>0</v>
      </c>
      <c r="AP24" s="2" t="s">
        <v>128</v>
      </c>
      <c r="AQ24" s="2" t="s">
        <v>128</v>
      </c>
      <c r="AR24" s="2" t="s">
        <v>323</v>
      </c>
      <c r="AS24" s="2" t="s">
        <v>111</v>
      </c>
      <c r="AT24" s="2" t="s">
        <v>111</v>
      </c>
      <c r="AU24" s="2" t="s">
        <v>111</v>
      </c>
      <c r="AV24" s="2" t="s">
        <v>128</v>
      </c>
      <c r="AW24" s="2" t="s">
        <v>324</v>
      </c>
      <c r="AX24" s="2" t="s">
        <v>116</v>
      </c>
      <c r="AY24" s="2" t="s">
        <v>280</v>
      </c>
      <c r="AZ24" s="2" t="s">
        <v>200</v>
      </c>
      <c r="BA24" s="5"/>
      <c r="BB24" s="5"/>
      <c r="BC24" s="2" t="s">
        <v>325</v>
      </c>
      <c r="BD24" s="6">
        <v>46217.770833333336</v>
      </c>
      <c r="BE24" s="2" t="s">
        <v>148</v>
      </c>
      <c r="BF24" s="2"/>
      <c r="BG24" s="2" t="str">
        <f t="shared" ca="1" si="7"/>
        <v/>
      </c>
      <c r="BH24" s="2" t="str">
        <f t="shared" ca="1" si="8"/>
        <v/>
      </c>
      <c r="BI24" s="3" t="str">
        <f t="shared" ca="1" si="9"/>
        <v/>
      </c>
      <c r="BJ24" s="2" t="str">
        <f t="shared" ca="1" si="10"/>
        <v>不比較</v>
      </c>
    </row>
    <row r="25" spans="1:62" ht="42" customHeight="1">
      <c r="A25" s="2" t="s">
        <v>326</v>
      </c>
      <c r="B25" s="2" t="s">
        <v>327</v>
      </c>
      <c r="C25" s="2" t="s">
        <v>137</v>
      </c>
      <c r="D25" s="2" t="s">
        <v>328</v>
      </c>
      <c r="E25" s="2" t="s">
        <v>322</v>
      </c>
      <c r="F25" s="2" t="s">
        <v>125</v>
      </c>
      <c r="G25" s="2" t="s">
        <v>108</v>
      </c>
      <c r="H25" s="2" t="s">
        <v>126</v>
      </c>
      <c r="I25" s="2" t="s">
        <v>36</v>
      </c>
      <c r="J25" s="2" t="s">
        <v>312</v>
      </c>
      <c r="K25" s="2" t="s">
        <v>188</v>
      </c>
      <c r="L25" s="2" t="str">
        <f>HYPERLINK("https://www.costco.com.tw/Food-Dining/Frozen-Fresh-Food/Frozen-Meals/Lao-Xie-Zhen-Frozen-Chicken-Essence-68-ml-X-50-Pack/p/218552","開啟商品頁")</f>
        <v>開啟商品頁</v>
      </c>
      <c r="M25" s="2"/>
      <c r="N25" s="4">
        <v>68</v>
      </c>
      <c r="O25" s="4">
        <v>50</v>
      </c>
      <c r="P25" s="4">
        <v>1</v>
      </c>
      <c r="Q25" s="4">
        <v>50</v>
      </c>
      <c r="R25" s="4">
        <v>0</v>
      </c>
      <c r="S25" s="4">
        <v>50</v>
      </c>
      <c r="T25" s="4">
        <f t="shared" si="0"/>
        <v>3400</v>
      </c>
      <c r="U25" s="2" t="s">
        <v>110</v>
      </c>
      <c r="V25" s="2" t="s">
        <v>200</v>
      </c>
      <c r="W25" s="2"/>
      <c r="X25" s="2"/>
      <c r="Y25" s="2">
        <v>6599</v>
      </c>
      <c r="Z25" s="2"/>
      <c r="AA25" s="2"/>
      <c r="AB25" s="2"/>
      <c r="AC25" s="2"/>
      <c r="AD25" s="2"/>
      <c r="AE25" s="2"/>
      <c r="AF25" s="2">
        <v>0</v>
      </c>
      <c r="AG25" s="2" t="s">
        <v>313</v>
      </c>
      <c r="AH25" s="2">
        <f t="shared" si="1"/>
        <v>131.97999999999999</v>
      </c>
      <c r="AI25" s="2">
        <f t="shared" si="2"/>
        <v>131.97999999999999</v>
      </c>
      <c r="AJ25" s="2">
        <f t="shared" si="3"/>
        <v>194.08823529411765</v>
      </c>
      <c r="AK25" s="2">
        <f t="shared" si="4"/>
        <v>6599</v>
      </c>
      <c r="AL25" s="3" t="str">
        <f t="shared" si="5"/>
        <v/>
      </c>
      <c r="AM25" s="3">
        <f t="shared" si="6"/>
        <v>0</v>
      </c>
      <c r="AN25" s="2" t="s">
        <v>128</v>
      </c>
      <c r="AO25" s="2">
        <v>0</v>
      </c>
      <c r="AP25" s="2" t="s">
        <v>128</v>
      </c>
      <c r="AQ25" s="2" t="s">
        <v>128</v>
      </c>
      <c r="AR25" s="2" t="s">
        <v>323</v>
      </c>
      <c r="AS25" s="2" t="s">
        <v>111</v>
      </c>
      <c r="AT25" s="2" t="s">
        <v>111</v>
      </c>
      <c r="AU25" s="2" t="s">
        <v>111</v>
      </c>
      <c r="AV25" s="2" t="s">
        <v>128</v>
      </c>
      <c r="AW25" s="2" t="s">
        <v>324</v>
      </c>
      <c r="AX25" s="2" t="s">
        <v>116</v>
      </c>
      <c r="AY25" s="2" t="s">
        <v>111</v>
      </c>
      <c r="AZ25" s="2" t="s">
        <v>200</v>
      </c>
      <c r="BA25" s="5"/>
      <c r="BB25" s="5"/>
      <c r="BC25" s="2" t="s">
        <v>329</v>
      </c>
      <c r="BD25" s="6">
        <v>46217.770833333336</v>
      </c>
      <c r="BE25" s="2" t="s">
        <v>148</v>
      </c>
      <c r="BF25" s="2"/>
      <c r="BG25" s="2" t="str">
        <f t="shared" ca="1" si="7"/>
        <v/>
      </c>
      <c r="BH25" s="2" t="str">
        <f t="shared" ca="1" si="8"/>
        <v/>
      </c>
      <c r="BI25" s="3" t="str">
        <f t="shared" ca="1" si="9"/>
        <v/>
      </c>
      <c r="BJ25" s="2" t="str">
        <f t="shared" ca="1" si="10"/>
        <v>不比較</v>
      </c>
    </row>
    <row r="26" spans="1:62" ht="42" customHeight="1">
      <c r="A26" s="2" t="s">
        <v>330</v>
      </c>
      <c r="B26" s="2" t="s">
        <v>331</v>
      </c>
      <c r="C26" s="2" t="s">
        <v>275</v>
      </c>
      <c r="D26" s="2" t="s">
        <v>332</v>
      </c>
      <c r="E26" s="2" t="s">
        <v>333</v>
      </c>
      <c r="F26" s="2" t="s">
        <v>125</v>
      </c>
      <c r="G26" s="2" t="s">
        <v>108</v>
      </c>
      <c r="H26" s="2" t="s">
        <v>126</v>
      </c>
      <c r="I26" s="2" t="s">
        <v>36</v>
      </c>
      <c r="J26" s="2" t="s">
        <v>312</v>
      </c>
      <c r="K26" s="2" t="s">
        <v>188</v>
      </c>
      <c r="L26" s="2" t="str">
        <f>HYPERLINK("https://www.costco.com.tw/Health-Beauty/Elderly-Care/Supplements/Dachan-Frozen-Pure-Chicken-Essence-100-ml-X-30-Count/p/127511","開啟商品頁")</f>
        <v>開啟商品頁</v>
      </c>
      <c r="M26" s="2"/>
      <c r="N26" s="4">
        <v>100</v>
      </c>
      <c r="O26" s="4">
        <v>30</v>
      </c>
      <c r="P26" s="4">
        <v>1</v>
      </c>
      <c r="Q26" s="4">
        <v>30</v>
      </c>
      <c r="R26" s="4">
        <v>0</v>
      </c>
      <c r="S26" s="4">
        <v>30</v>
      </c>
      <c r="T26" s="4">
        <f t="shared" si="0"/>
        <v>3000</v>
      </c>
      <c r="U26" s="2" t="s">
        <v>110</v>
      </c>
      <c r="V26" s="2" t="s">
        <v>200</v>
      </c>
      <c r="W26" s="2"/>
      <c r="X26" s="2"/>
      <c r="Y26" s="2">
        <v>2949</v>
      </c>
      <c r="Z26" s="2"/>
      <c r="AA26" s="2"/>
      <c r="AB26" s="2"/>
      <c r="AC26" s="2"/>
      <c r="AD26" s="2"/>
      <c r="AE26" s="2"/>
      <c r="AF26" s="2">
        <v>0</v>
      </c>
      <c r="AG26" s="2" t="s">
        <v>313</v>
      </c>
      <c r="AH26" s="2">
        <f t="shared" si="1"/>
        <v>98.3</v>
      </c>
      <c r="AI26" s="2">
        <f t="shared" si="2"/>
        <v>98.3</v>
      </c>
      <c r="AJ26" s="2">
        <f t="shared" si="3"/>
        <v>98.3</v>
      </c>
      <c r="AK26" s="2">
        <f t="shared" si="4"/>
        <v>2949</v>
      </c>
      <c r="AL26" s="3" t="str">
        <f t="shared" si="5"/>
        <v/>
      </c>
      <c r="AM26" s="3">
        <f t="shared" si="6"/>
        <v>0</v>
      </c>
      <c r="AN26" s="2" t="s">
        <v>128</v>
      </c>
      <c r="AO26" s="2">
        <v>0</v>
      </c>
      <c r="AP26" s="2" t="s">
        <v>128</v>
      </c>
      <c r="AQ26" s="2" t="s">
        <v>128</v>
      </c>
      <c r="AR26" s="2" t="s">
        <v>129</v>
      </c>
      <c r="AS26" s="2" t="s">
        <v>220</v>
      </c>
      <c r="AT26" s="2" t="s">
        <v>111</v>
      </c>
      <c r="AU26" s="2" t="s">
        <v>111</v>
      </c>
      <c r="AV26" s="2" t="s">
        <v>128</v>
      </c>
      <c r="AW26" s="2" t="s">
        <v>334</v>
      </c>
      <c r="AX26" s="2" t="s">
        <v>116</v>
      </c>
      <c r="AY26" s="2" t="s">
        <v>335</v>
      </c>
      <c r="AZ26" s="2" t="s">
        <v>336</v>
      </c>
      <c r="BA26" s="5"/>
      <c r="BB26" s="5"/>
      <c r="BC26" s="2" t="s">
        <v>337</v>
      </c>
      <c r="BD26" s="6">
        <v>46217.770833333336</v>
      </c>
      <c r="BE26" s="2" t="s">
        <v>148</v>
      </c>
      <c r="BF26" s="2"/>
      <c r="BG26" s="2" t="str">
        <f t="shared" ca="1" si="7"/>
        <v/>
      </c>
      <c r="BH26" s="2" t="str">
        <f t="shared" ca="1" si="8"/>
        <v/>
      </c>
      <c r="BI26" s="3" t="str">
        <f t="shared" ca="1" si="9"/>
        <v/>
      </c>
      <c r="BJ26" s="2" t="str">
        <f t="shared" ca="1" si="10"/>
        <v>不比較</v>
      </c>
    </row>
    <row r="27" spans="1:62" ht="42" customHeight="1">
      <c r="A27" s="2" t="s">
        <v>338</v>
      </c>
      <c r="B27" s="2" t="s">
        <v>339</v>
      </c>
      <c r="C27" s="2" t="s">
        <v>300</v>
      </c>
      <c r="D27" s="2" t="s">
        <v>340</v>
      </c>
      <c r="E27" s="2" t="s">
        <v>341</v>
      </c>
      <c r="F27" s="2" t="s">
        <v>125</v>
      </c>
      <c r="G27" s="2" t="s">
        <v>108</v>
      </c>
      <c r="H27" s="2" t="s">
        <v>109</v>
      </c>
      <c r="I27" s="2" t="s">
        <v>36</v>
      </c>
      <c r="J27" s="2" t="s">
        <v>312</v>
      </c>
      <c r="K27" s="2" t="s">
        <v>188</v>
      </c>
      <c r="L27" s="2" t="str">
        <f>HYPERLINK("https://www.costco.com.tw/c/Brands-Essence-of-Chicken-68-ml-X-30-Count-41-ml-X-2-Count/p/145184","開啟商品頁")</f>
        <v>開啟商品頁</v>
      </c>
      <c r="M27" s="2"/>
      <c r="N27" s="4">
        <v>66.3125</v>
      </c>
      <c r="O27" s="4">
        <v>32</v>
      </c>
      <c r="P27" s="4">
        <v>1</v>
      </c>
      <c r="Q27" s="4">
        <v>30</v>
      </c>
      <c r="R27" s="4">
        <v>2</v>
      </c>
      <c r="S27" s="4">
        <v>32</v>
      </c>
      <c r="T27" s="4">
        <f t="shared" si="0"/>
        <v>2122</v>
      </c>
      <c r="U27" s="2" t="s">
        <v>110</v>
      </c>
      <c r="V27" s="2" t="s">
        <v>140</v>
      </c>
      <c r="W27" s="2"/>
      <c r="X27" s="2"/>
      <c r="Y27" s="2">
        <v>1479</v>
      </c>
      <c r="Z27" s="2"/>
      <c r="AA27" s="2"/>
      <c r="AB27" s="2"/>
      <c r="AC27" s="2"/>
      <c r="AD27" s="2"/>
      <c r="AE27" s="2"/>
      <c r="AF27" s="2">
        <v>0</v>
      </c>
      <c r="AG27" s="2" t="s">
        <v>313</v>
      </c>
      <c r="AH27" s="2">
        <f t="shared" si="1"/>
        <v>49.3</v>
      </c>
      <c r="AI27" s="2">
        <f t="shared" si="2"/>
        <v>46.21875</v>
      </c>
      <c r="AJ27" s="2">
        <f t="shared" si="3"/>
        <v>69.698397737983029</v>
      </c>
      <c r="AK27" s="2">
        <f t="shared" si="4"/>
        <v>1479</v>
      </c>
      <c r="AL27" s="3" t="str">
        <f t="shared" si="5"/>
        <v/>
      </c>
      <c r="AM27" s="3">
        <f t="shared" si="6"/>
        <v>6.6666666666666666E-2</v>
      </c>
      <c r="AN27" s="2" t="s">
        <v>342</v>
      </c>
      <c r="AO27" s="2">
        <v>2</v>
      </c>
      <c r="AP27" s="2" t="s">
        <v>343</v>
      </c>
      <c r="AQ27" s="2" t="s">
        <v>344</v>
      </c>
      <c r="AR27" s="2" t="s">
        <v>129</v>
      </c>
      <c r="AS27" s="2" t="s">
        <v>345</v>
      </c>
      <c r="AT27" s="2" t="s">
        <v>111</v>
      </c>
      <c r="AU27" s="2" t="s">
        <v>111</v>
      </c>
      <c r="AV27" s="2" t="s">
        <v>346</v>
      </c>
      <c r="AW27" s="2" t="s">
        <v>111</v>
      </c>
      <c r="AX27" s="2" t="s">
        <v>116</v>
      </c>
      <c r="AY27" s="2" t="s">
        <v>111</v>
      </c>
      <c r="AZ27" s="2" t="s">
        <v>140</v>
      </c>
      <c r="BA27" s="5"/>
      <c r="BB27" s="5"/>
      <c r="BC27" s="2" t="s">
        <v>347</v>
      </c>
      <c r="BD27" s="6">
        <v>46217.770833333336</v>
      </c>
      <c r="BE27" s="2" t="s">
        <v>148</v>
      </c>
      <c r="BF27" s="2" t="s">
        <v>348</v>
      </c>
      <c r="BG27" s="2" t="str">
        <f t="shared" ca="1" si="7"/>
        <v/>
      </c>
      <c r="BH27" s="2" t="str">
        <f t="shared" ca="1" si="8"/>
        <v/>
      </c>
      <c r="BI27" s="3" t="str">
        <f t="shared" ca="1" si="9"/>
        <v/>
      </c>
      <c r="BJ27" s="2" t="str">
        <f t="shared" ca="1" si="10"/>
        <v>不比較</v>
      </c>
    </row>
    <row r="28" spans="1:62" ht="42" customHeight="1">
      <c r="A28" s="2" t="s">
        <v>349</v>
      </c>
      <c r="B28" s="2" t="s">
        <v>350</v>
      </c>
      <c r="C28" s="2" t="s">
        <v>209</v>
      </c>
      <c r="D28" s="2" t="s">
        <v>351</v>
      </c>
      <c r="E28" s="2" t="s">
        <v>352</v>
      </c>
      <c r="F28" s="2" t="s">
        <v>353</v>
      </c>
      <c r="G28" s="2" t="s">
        <v>108</v>
      </c>
      <c r="H28" s="2" t="s">
        <v>109</v>
      </c>
      <c r="I28" s="2" t="s">
        <v>354</v>
      </c>
      <c r="J28" s="2" t="s">
        <v>354</v>
      </c>
      <c r="K28" s="2" t="s">
        <v>188</v>
      </c>
      <c r="L28" s="2" t="str">
        <f>HYPERLINK("https://www.etmall.com.tw/i/7496138","開啟商品頁")</f>
        <v>開啟商品頁</v>
      </c>
      <c r="M28" s="2"/>
      <c r="N28" s="4">
        <v>45</v>
      </c>
      <c r="O28" s="4">
        <v>10</v>
      </c>
      <c r="P28" s="4">
        <v>5</v>
      </c>
      <c r="Q28" s="4">
        <v>50</v>
      </c>
      <c r="R28" s="4">
        <v>2</v>
      </c>
      <c r="S28" s="4">
        <v>52</v>
      </c>
      <c r="T28" s="4">
        <f t="shared" si="0"/>
        <v>2340</v>
      </c>
      <c r="U28" s="2" t="s">
        <v>110</v>
      </c>
      <c r="V28" s="2" t="s">
        <v>140</v>
      </c>
      <c r="W28" s="2"/>
      <c r="X28" s="2">
        <v>7696</v>
      </c>
      <c r="Y28" s="2"/>
      <c r="Z28" s="2">
        <v>5480</v>
      </c>
      <c r="AA28" s="2"/>
      <c r="AB28" s="2"/>
      <c r="AC28" s="2"/>
      <c r="AD28" s="2"/>
      <c r="AE28" s="2"/>
      <c r="AF28" s="2"/>
      <c r="AG28" s="2" t="s">
        <v>111</v>
      </c>
      <c r="AH28" s="2">
        <f t="shared" si="1"/>
        <v>0</v>
      </c>
      <c r="AI28" s="2">
        <f t="shared" si="2"/>
        <v>0</v>
      </c>
      <c r="AJ28" s="2">
        <f t="shared" si="3"/>
        <v>0</v>
      </c>
      <c r="AK28" s="2">
        <f t="shared" si="4"/>
        <v>0</v>
      </c>
      <c r="AL28" s="3">
        <f t="shared" si="5"/>
        <v>1</v>
      </c>
      <c r="AM28" s="3">
        <f t="shared" si="6"/>
        <v>0.04</v>
      </c>
      <c r="AN28" s="2" t="s">
        <v>355</v>
      </c>
      <c r="AO28" s="2">
        <v>2</v>
      </c>
      <c r="AP28" s="2" t="s">
        <v>356</v>
      </c>
      <c r="AQ28" s="2" t="s">
        <v>114</v>
      </c>
      <c r="AR28" s="2" t="s">
        <v>212</v>
      </c>
      <c r="AS28" s="2" t="s">
        <v>111</v>
      </c>
      <c r="AT28" s="2" t="s">
        <v>111</v>
      </c>
      <c r="AU28" s="2" t="s">
        <v>111</v>
      </c>
      <c r="AV28" s="2" t="s">
        <v>306</v>
      </c>
      <c r="AW28" s="2" t="s">
        <v>111</v>
      </c>
      <c r="AX28" s="2" t="s">
        <v>116</v>
      </c>
      <c r="AY28" s="2" t="s">
        <v>111</v>
      </c>
      <c r="AZ28" s="2" t="s">
        <v>140</v>
      </c>
      <c r="BA28" s="5"/>
      <c r="BB28" s="5"/>
      <c r="BC28" s="2" t="s">
        <v>357</v>
      </c>
      <c r="BD28" s="6">
        <v>46217.770833333336</v>
      </c>
      <c r="BE28" s="2" t="s">
        <v>166</v>
      </c>
      <c r="BF28" s="2" t="s">
        <v>358</v>
      </c>
      <c r="BG28" s="2" t="str">
        <f t="shared" si="7"/>
        <v/>
      </c>
      <c r="BH28" s="2" t="str">
        <f t="shared" si="8"/>
        <v/>
      </c>
      <c r="BI28" s="3" t="str">
        <f t="shared" si="9"/>
        <v/>
      </c>
      <c r="BJ28" s="2" t="str">
        <f t="shared" si="10"/>
        <v>不比較</v>
      </c>
    </row>
    <row r="29" spans="1:62" ht="42" customHeight="1">
      <c r="A29" s="2" t="s">
        <v>359</v>
      </c>
      <c r="B29" s="2" t="s">
        <v>360</v>
      </c>
      <c r="C29" s="2" t="s">
        <v>209</v>
      </c>
      <c r="D29" s="2" t="s">
        <v>361</v>
      </c>
      <c r="E29" s="2" t="s">
        <v>158</v>
      </c>
      <c r="F29" s="2" t="s">
        <v>125</v>
      </c>
      <c r="G29" s="2" t="s">
        <v>108</v>
      </c>
      <c r="H29" s="2" t="s">
        <v>126</v>
      </c>
      <c r="I29" s="2" t="s">
        <v>354</v>
      </c>
      <c r="J29" s="2" t="s">
        <v>354</v>
      </c>
      <c r="K29" s="2" t="s">
        <v>188</v>
      </c>
      <c r="L29" s="2" t="str">
        <f>HYPERLINK("https://www.etmall.com.tw/i/7423754","開啟商品頁")</f>
        <v>開啟商品頁</v>
      </c>
      <c r="M29" s="2"/>
      <c r="N29" s="4">
        <v>60</v>
      </c>
      <c r="O29" s="4">
        <v>15</v>
      </c>
      <c r="P29" s="4">
        <v>2</v>
      </c>
      <c r="Q29" s="4">
        <v>30</v>
      </c>
      <c r="R29" s="4">
        <v>0</v>
      </c>
      <c r="S29" s="4">
        <v>30</v>
      </c>
      <c r="T29" s="4">
        <f t="shared" si="0"/>
        <v>1800</v>
      </c>
      <c r="U29" s="2" t="s">
        <v>110</v>
      </c>
      <c r="V29" s="2" t="s">
        <v>140</v>
      </c>
      <c r="W29" s="2"/>
      <c r="X29" s="2">
        <v>5760</v>
      </c>
      <c r="Y29" s="2"/>
      <c r="Z29" s="2">
        <v>4896</v>
      </c>
      <c r="AA29" s="2"/>
      <c r="AB29" s="2"/>
      <c r="AC29" s="2"/>
      <c r="AD29" s="2"/>
      <c r="AE29" s="2"/>
      <c r="AF29" s="2"/>
      <c r="AG29" s="2" t="s">
        <v>111</v>
      </c>
      <c r="AH29" s="2">
        <f t="shared" si="1"/>
        <v>0</v>
      </c>
      <c r="AI29" s="2">
        <f t="shared" si="2"/>
        <v>0</v>
      </c>
      <c r="AJ29" s="2">
        <f t="shared" si="3"/>
        <v>0</v>
      </c>
      <c r="AK29" s="2">
        <f t="shared" si="4"/>
        <v>0</v>
      </c>
      <c r="AL29" s="3">
        <f t="shared" si="5"/>
        <v>1</v>
      </c>
      <c r="AM29" s="3">
        <f t="shared" si="6"/>
        <v>0</v>
      </c>
      <c r="AN29" s="2" t="s">
        <v>128</v>
      </c>
      <c r="AO29" s="2">
        <v>0</v>
      </c>
      <c r="AP29" s="2" t="s">
        <v>128</v>
      </c>
      <c r="AQ29" s="2" t="s">
        <v>128</v>
      </c>
      <c r="AR29" s="2" t="s">
        <v>212</v>
      </c>
      <c r="AS29" s="2" t="s">
        <v>362</v>
      </c>
      <c r="AT29" s="2" t="s">
        <v>111</v>
      </c>
      <c r="AU29" s="2" t="s">
        <v>111</v>
      </c>
      <c r="AV29" s="2" t="s">
        <v>363</v>
      </c>
      <c r="AW29" s="2" t="s">
        <v>214</v>
      </c>
      <c r="AX29" s="2" t="s">
        <v>116</v>
      </c>
      <c r="AY29" s="2" t="s">
        <v>111</v>
      </c>
      <c r="AZ29" s="2" t="s">
        <v>140</v>
      </c>
      <c r="BA29" s="5"/>
      <c r="BB29" s="5"/>
      <c r="BC29" s="2" t="s">
        <v>364</v>
      </c>
      <c r="BD29" s="6">
        <v>46217.770833333336</v>
      </c>
      <c r="BE29" s="2" t="s">
        <v>166</v>
      </c>
      <c r="BF29" s="2" t="s">
        <v>365</v>
      </c>
      <c r="BG29" s="2" t="str">
        <f t="shared" si="7"/>
        <v/>
      </c>
      <c r="BH29" s="2" t="str">
        <f t="shared" si="8"/>
        <v/>
      </c>
      <c r="BI29" s="3" t="str">
        <f t="shared" si="9"/>
        <v/>
      </c>
      <c r="BJ29" s="2" t="str">
        <f t="shared" si="10"/>
        <v>不比較</v>
      </c>
    </row>
    <row r="30" spans="1:62" ht="42" customHeight="1">
      <c r="A30" s="2" t="s">
        <v>366</v>
      </c>
      <c r="B30" s="2" t="s">
        <v>367</v>
      </c>
      <c r="C30" s="2" t="s">
        <v>197</v>
      </c>
      <c r="D30" s="2" t="s">
        <v>368</v>
      </c>
      <c r="E30" s="2" t="s">
        <v>124</v>
      </c>
      <c r="F30" s="2" t="s">
        <v>125</v>
      </c>
      <c r="G30" s="2" t="s">
        <v>108</v>
      </c>
      <c r="H30" s="2" t="s">
        <v>126</v>
      </c>
      <c r="I30" s="2" t="s">
        <v>354</v>
      </c>
      <c r="J30" s="2" t="s">
        <v>199</v>
      </c>
      <c r="K30" s="2" t="s">
        <v>109</v>
      </c>
      <c r="L30" s="2" t="str">
        <f>HYPERLINK("https://www.etmall.com.tw/i/3295233","開啟商品頁")</f>
        <v>開啟商品頁</v>
      </c>
      <c r="M30" s="2"/>
      <c r="N30" s="4">
        <v>65</v>
      </c>
      <c r="O30" s="4">
        <v>20</v>
      </c>
      <c r="P30" s="4">
        <v>1</v>
      </c>
      <c r="Q30" s="4">
        <v>20</v>
      </c>
      <c r="R30" s="4">
        <v>0</v>
      </c>
      <c r="S30" s="4">
        <v>20</v>
      </c>
      <c r="T30" s="4">
        <f t="shared" si="0"/>
        <v>1300</v>
      </c>
      <c r="U30" s="2" t="s">
        <v>110</v>
      </c>
      <c r="V30" s="2" t="s">
        <v>200</v>
      </c>
      <c r="W30" s="2"/>
      <c r="X30" s="2">
        <v>3960</v>
      </c>
      <c r="Y30" s="2"/>
      <c r="Z30" s="2">
        <v>3180</v>
      </c>
      <c r="AA30" s="2"/>
      <c r="AB30" s="2"/>
      <c r="AC30" s="2"/>
      <c r="AD30" s="2"/>
      <c r="AE30" s="2"/>
      <c r="AF30" s="2"/>
      <c r="AG30" s="2" t="s">
        <v>111</v>
      </c>
      <c r="AH30" s="2">
        <f t="shared" si="1"/>
        <v>0</v>
      </c>
      <c r="AI30" s="2">
        <f t="shared" si="2"/>
        <v>0</v>
      </c>
      <c r="AJ30" s="2">
        <f t="shared" si="3"/>
        <v>0</v>
      </c>
      <c r="AK30" s="2">
        <f t="shared" si="4"/>
        <v>0</v>
      </c>
      <c r="AL30" s="3">
        <f t="shared" si="5"/>
        <v>1</v>
      </c>
      <c r="AM30" s="3">
        <f t="shared" si="6"/>
        <v>0</v>
      </c>
      <c r="AN30" s="2" t="s">
        <v>128</v>
      </c>
      <c r="AO30" s="2">
        <v>0</v>
      </c>
      <c r="AP30" s="2" t="s">
        <v>128</v>
      </c>
      <c r="AQ30" s="2" t="s">
        <v>128</v>
      </c>
      <c r="AR30" s="2" t="s">
        <v>129</v>
      </c>
      <c r="AS30" s="2" t="s">
        <v>201</v>
      </c>
      <c r="AT30" s="2" t="s">
        <v>111</v>
      </c>
      <c r="AU30" s="2" t="s">
        <v>111</v>
      </c>
      <c r="AV30" s="2" t="s">
        <v>128</v>
      </c>
      <c r="AW30" s="2" t="s">
        <v>369</v>
      </c>
      <c r="AX30" s="2" t="s">
        <v>116</v>
      </c>
      <c r="AY30" s="2" t="s">
        <v>111</v>
      </c>
      <c r="AZ30" s="2" t="s">
        <v>200</v>
      </c>
      <c r="BA30" s="5"/>
      <c r="BB30" s="5"/>
      <c r="BC30" s="2" t="s">
        <v>370</v>
      </c>
      <c r="BD30" s="6">
        <v>46217.770833333336</v>
      </c>
      <c r="BE30" s="2" t="s">
        <v>166</v>
      </c>
      <c r="BF30" s="2" t="s">
        <v>371</v>
      </c>
      <c r="BG30" s="2" t="str">
        <f t="shared" si="7"/>
        <v/>
      </c>
      <c r="BH30" s="2" t="str">
        <f t="shared" si="8"/>
        <v/>
      </c>
      <c r="BI30" s="3" t="str">
        <f t="shared" si="9"/>
        <v/>
      </c>
      <c r="BJ30" s="2" t="str">
        <f t="shared" si="10"/>
        <v>不比較</v>
      </c>
    </row>
    <row r="31" spans="1:62" ht="42" customHeight="1">
      <c r="A31" s="2" t="s">
        <v>372</v>
      </c>
      <c r="B31" s="2" t="s">
        <v>224</v>
      </c>
      <c r="C31" s="2" t="s">
        <v>218</v>
      </c>
      <c r="D31" s="2" t="s">
        <v>373</v>
      </c>
      <c r="E31" s="2" t="s">
        <v>124</v>
      </c>
      <c r="F31" s="2" t="s">
        <v>125</v>
      </c>
      <c r="G31" s="2" t="s">
        <v>108</v>
      </c>
      <c r="H31" s="2" t="s">
        <v>126</v>
      </c>
      <c r="I31" s="2" t="s">
        <v>374</v>
      </c>
      <c r="J31" s="2" t="s">
        <v>374</v>
      </c>
      <c r="K31" s="2" t="s">
        <v>188</v>
      </c>
      <c r="L31" s="2" t="str">
        <f>HYPERLINK("https://www.books.com.tw/products/N012944996","開啟商品頁")</f>
        <v>開啟商品頁</v>
      </c>
      <c r="M31" s="2"/>
      <c r="N31" s="4">
        <v>65</v>
      </c>
      <c r="O31" s="4">
        <v>20</v>
      </c>
      <c r="P31" s="4">
        <v>1</v>
      </c>
      <c r="Q31" s="4">
        <v>20</v>
      </c>
      <c r="R31" s="4">
        <v>0</v>
      </c>
      <c r="S31" s="4">
        <v>20</v>
      </c>
      <c r="T31" s="4">
        <f t="shared" si="0"/>
        <v>1300</v>
      </c>
      <c r="U31" s="2" t="s">
        <v>110</v>
      </c>
      <c r="V31" s="2" t="s">
        <v>200</v>
      </c>
      <c r="W31" s="2"/>
      <c r="X31" s="2">
        <v>3280</v>
      </c>
      <c r="Y31" s="2"/>
      <c r="Z31" s="2">
        <v>2952</v>
      </c>
      <c r="AA31" s="2"/>
      <c r="AB31" s="2"/>
      <c r="AC31" s="2"/>
      <c r="AD31" s="2"/>
      <c r="AE31" s="2"/>
      <c r="AF31" s="2"/>
      <c r="AG31" s="2" t="s">
        <v>111</v>
      </c>
      <c r="AH31" s="2">
        <f t="shared" si="1"/>
        <v>0</v>
      </c>
      <c r="AI31" s="2">
        <f t="shared" si="2"/>
        <v>0</v>
      </c>
      <c r="AJ31" s="2">
        <f t="shared" si="3"/>
        <v>0</v>
      </c>
      <c r="AK31" s="2">
        <f t="shared" si="4"/>
        <v>0</v>
      </c>
      <c r="AL31" s="3">
        <f t="shared" si="5"/>
        <v>1</v>
      </c>
      <c r="AM31" s="3">
        <f t="shared" si="6"/>
        <v>0</v>
      </c>
      <c r="AN31" s="2" t="s">
        <v>128</v>
      </c>
      <c r="AO31" s="2">
        <v>0</v>
      </c>
      <c r="AP31" s="2" t="s">
        <v>128</v>
      </c>
      <c r="AQ31" s="2" t="s">
        <v>128</v>
      </c>
      <c r="AR31" s="2" t="s">
        <v>129</v>
      </c>
      <c r="AS31" s="2" t="s">
        <v>111</v>
      </c>
      <c r="AT31" s="2" t="s">
        <v>111</v>
      </c>
      <c r="AU31" s="2" t="s">
        <v>111</v>
      </c>
      <c r="AV31" s="2" t="s">
        <v>128</v>
      </c>
      <c r="AW31" s="2" t="s">
        <v>111</v>
      </c>
      <c r="AX31" s="2" t="s">
        <v>116</v>
      </c>
      <c r="AY31" s="2" t="s">
        <v>111</v>
      </c>
      <c r="AZ31" s="2" t="s">
        <v>200</v>
      </c>
      <c r="BA31" s="5"/>
      <c r="BB31" s="5">
        <v>46215.5</v>
      </c>
      <c r="BC31" s="2" t="s">
        <v>375</v>
      </c>
      <c r="BD31" s="6">
        <v>46217.770833333336</v>
      </c>
      <c r="BE31" s="2" t="s">
        <v>376</v>
      </c>
      <c r="BF31" s="2" t="s">
        <v>377</v>
      </c>
      <c r="BG31" s="2" t="str">
        <f t="shared" si="7"/>
        <v/>
      </c>
      <c r="BH31" s="2" t="str">
        <f t="shared" si="8"/>
        <v/>
      </c>
      <c r="BI31" s="3" t="str">
        <f t="shared" si="9"/>
        <v/>
      </c>
      <c r="BJ31" s="2" t="str">
        <f t="shared" si="10"/>
        <v>不比較</v>
      </c>
    </row>
    <row r="32" spans="1:62" ht="42" customHeight="1">
      <c r="A32" s="2" t="s">
        <v>378</v>
      </c>
      <c r="B32" s="2" t="s">
        <v>379</v>
      </c>
      <c r="C32" s="2" t="s">
        <v>218</v>
      </c>
      <c r="D32" s="2" t="s">
        <v>380</v>
      </c>
      <c r="E32" s="2" t="s">
        <v>158</v>
      </c>
      <c r="F32" s="2" t="s">
        <v>125</v>
      </c>
      <c r="G32" s="2" t="s">
        <v>108</v>
      </c>
      <c r="H32" s="2" t="s">
        <v>126</v>
      </c>
      <c r="I32" s="2" t="s">
        <v>374</v>
      </c>
      <c r="J32" s="2" t="s">
        <v>374</v>
      </c>
      <c r="K32" s="2" t="s">
        <v>188</v>
      </c>
      <c r="L32" s="2" t="str">
        <f>HYPERLINK("https://www.books.com.tw/products/N001283167","開啟商品頁")</f>
        <v>開啟商品頁</v>
      </c>
      <c r="M32" s="2"/>
      <c r="N32" s="4">
        <v>50</v>
      </c>
      <c r="O32" s="4">
        <v>16</v>
      </c>
      <c r="P32" s="4">
        <v>1</v>
      </c>
      <c r="Q32" s="4">
        <v>16</v>
      </c>
      <c r="R32" s="4">
        <v>0</v>
      </c>
      <c r="S32" s="4">
        <v>16</v>
      </c>
      <c r="T32" s="4">
        <f t="shared" si="0"/>
        <v>800</v>
      </c>
      <c r="U32" s="2" t="s">
        <v>110</v>
      </c>
      <c r="V32" s="2" t="s">
        <v>140</v>
      </c>
      <c r="W32" s="2"/>
      <c r="X32" s="2">
        <v>2680</v>
      </c>
      <c r="Y32" s="2"/>
      <c r="Z32" s="2">
        <v>2412</v>
      </c>
      <c r="AA32" s="2"/>
      <c r="AB32" s="2"/>
      <c r="AC32" s="2"/>
      <c r="AD32" s="2"/>
      <c r="AE32" s="2"/>
      <c r="AF32" s="2"/>
      <c r="AG32" s="2" t="s">
        <v>111</v>
      </c>
      <c r="AH32" s="2">
        <f t="shared" si="1"/>
        <v>0</v>
      </c>
      <c r="AI32" s="2">
        <f t="shared" si="2"/>
        <v>0</v>
      </c>
      <c r="AJ32" s="2">
        <f t="shared" si="3"/>
        <v>0</v>
      </c>
      <c r="AK32" s="2">
        <f t="shared" si="4"/>
        <v>0</v>
      </c>
      <c r="AL32" s="3">
        <f t="shared" si="5"/>
        <v>1</v>
      </c>
      <c r="AM32" s="3">
        <f t="shared" si="6"/>
        <v>0</v>
      </c>
      <c r="AN32" s="2" t="s">
        <v>128</v>
      </c>
      <c r="AO32" s="2">
        <v>0</v>
      </c>
      <c r="AP32" s="2" t="s">
        <v>128</v>
      </c>
      <c r="AQ32" s="2" t="s">
        <v>128</v>
      </c>
      <c r="AR32" s="2" t="s">
        <v>129</v>
      </c>
      <c r="AS32" s="2" t="s">
        <v>111</v>
      </c>
      <c r="AT32" s="2" t="s">
        <v>111</v>
      </c>
      <c r="AU32" s="2" t="s">
        <v>111</v>
      </c>
      <c r="AV32" s="2" t="s">
        <v>128</v>
      </c>
      <c r="AW32" s="2" t="s">
        <v>111</v>
      </c>
      <c r="AX32" s="2" t="s">
        <v>116</v>
      </c>
      <c r="AY32" s="2" t="s">
        <v>111</v>
      </c>
      <c r="AZ32" s="2" t="s">
        <v>140</v>
      </c>
      <c r="BA32" s="5"/>
      <c r="BB32" s="5">
        <v>46215.5</v>
      </c>
      <c r="BC32" s="2" t="s">
        <v>375</v>
      </c>
      <c r="BD32" s="6">
        <v>46217.770833333336</v>
      </c>
      <c r="BE32" s="2" t="s">
        <v>376</v>
      </c>
      <c r="BF32" s="2" t="s">
        <v>381</v>
      </c>
      <c r="BG32" s="2" t="str">
        <f t="shared" si="7"/>
        <v/>
      </c>
      <c r="BH32" s="2" t="str">
        <f t="shared" si="8"/>
        <v/>
      </c>
      <c r="BI32" s="3" t="str">
        <f t="shared" si="9"/>
        <v/>
      </c>
      <c r="BJ32" s="2" t="str">
        <f t="shared" si="10"/>
        <v>不比較</v>
      </c>
    </row>
    <row r="33" spans="1:62" ht="42" customHeight="1">
      <c r="A33" s="2" t="s">
        <v>382</v>
      </c>
      <c r="B33" s="2" t="s">
        <v>383</v>
      </c>
      <c r="C33" s="2" t="s">
        <v>229</v>
      </c>
      <c r="D33" s="2" t="s">
        <v>384</v>
      </c>
      <c r="E33" s="2" t="s">
        <v>124</v>
      </c>
      <c r="F33" s="2" t="s">
        <v>385</v>
      </c>
      <c r="G33" s="2" t="s">
        <v>108</v>
      </c>
      <c r="H33" s="2" t="s">
        <v>126</v>
      </c>
      <c r="I33" s="2" t="s">
        <v>39</v>
      </c>
      <c r="J33" s="2" t="s">
        <v>386</v>
      </c>
      <c r="K33" s="2" t="s">
        <v>109</v>
      </c>
      <c r="L33" s="2" t="str">
        <f>HYPERLINK("https://www.qchicken.com.tw/","開啟商品頁")</f>
        <v>開啟商品頁</v>
      </c>
      <c r="M33" s="2" t="str">
        <f>HYPERLINK("https://www.qchicken.com.tw/","開啟活動頁")</f>
        <v>開啟活動頁</v>
      </c>
      <c r="N33" s="4">
        <v>60</v>
      </c>
      <c r="O33" s="4">
        <v>20</v>
      </c>
      <c r="P33" s="4">
        <v>2</v>
      </c>
      <c r="Q33" s="4">
        <v>40</v>
      </c>
      <c r="R33" s="4">
        <v>0</v>
      </c>
      <c r="S33" s="4">
        <v>40</v>
      </c>
      <c r="T33" s="4">
        <f t="shared" si="0"/>
        <v>2400</v>
      </c>
      <c r="U33" s="2" t="s">
        <v>110</v>
      </c>
      <c r="V33" s="2" t="s">
        <v>200</v>
      </c>
      <c r="W33" s="2"/>
      <c r="X33" s="2">
        <v>5900</v>
      </c>
      <c r="Y33" s="2">
        <v>5400</v>
      </c>
      <c r="Z33" s="2">
        <v>5400</v>
      </c>
      <c r="AA33" s="2"/>
      <c r="AB33" s="2"/>
      <c r="AC33" s="2"/>
      <c r="AD33" s="2"/>
      <c r="AE33" s="2"/>
      <c r="AF33" s="2">
        <v>0</v>
      </c>
      <c r="AG33" s="2" t="s">
        <v>387</v>
      </c>
      <c r="AH33" s="2">
        <f t="shared" si="1"/>
        <v>135</v>
      </c>
      <c r="AI33" s="2">
        <f t="shared" si="2"/>
        <v>135</v>
      </c>
      <c r="AJ33" s="2">
        <f t="shared" si="3"/>
        <v>225</v>
      </c>
      <c r="AK33" s="2">
        <f t="shared" si="4"/>
        <v>2700</v>
      </c>
      <c r="AL33" s="3">
        <f t="shared" si="5"/>
        <v>8.4745762711864403E-2</v>
      </c>
      <c r="AM33" s="3">
        <f t="shared" si="6"/>
        <v>0</v>
      </c>
      <c r="AN33" s="2" t="s">
        <v>128</v>
      </c>
      <c r="AO33" s="2">
        <v>0</v>
      </c>
      <c r="AP33" s="2" t="s">
        <v>128</v>
      </c>
      <c r="AQ33" s="2" t="s">
        <v>128</v>
      </c>
      <c r="AR33" s="2" t="s">
        <v>388</v>
      </c>
      <c r="AS33" s="2" t="s">
        <v>111</v>
      </c>
      <c r="AT33" s="2" t="s">
        <v>111</v>
      </c>
      <c r="AU33" s="2" t="s">
        <v>111</v>
      </c>
      <c r="AV33" s="2" t="s">
        <v>128</v>
      </c>
      <c r="AW33" s="2" t="s">
        <v>111</v>
      </c>
      <c r="AX33" s="2" t="s">
        <v>116</v>
      </c>
      <c r="AY33" s="2" t="s">
        <v>111</v>
      </c>
      <c r="AZ33" s="2" t="s">
        <v>200</v>
      </c>
      <c r="BA33" s="5"/>
      <c r="BB33" s="5">
        <v>46234.5</v>
      </c>
      <c r="BC33" s="2" t="s">
        <v>389</v>
      </c>
      <c r="BD33" s="6">
        <v>46217.770833333336</v>
      </c>
      <c r="BE33" s="2" t="s">
        <v>118</v>
      </c>
      <c r="BF33" s="2"/>
      <c r="BG33" s="2" t="str">
        <f t="shared" ca="1" si="7"/>
        <v/>
      </c>
      <c r="BH33" s="2" t="str">
        <f t="shared" ca="1" si="8"/>
        <v/>
      </c>
      <c r="BI33" s="3" t="str">
        <f t="shared" ca="1" si="9"/>
        <v/>
      </c>
      <c r="BJ33" s="2" t="str">
        <f t="shared" ca="1" si="10"/>
        <v>不比較</v>
      </c>
    </row>
    <row r="34" spans="1:62" ht="42" customHeight="1">
      <c r="A34" s="2" t="s">
        <v>390</v>
      </c>
      <c r="B34" s="2" t="s">
        <v>391</v>
      </c>
      <c r="C34" s="2" t="s">
        <v>229</v>
      </c>
      <c r="D34" s="2" t="s">
        <v>392</v>
      </c>
      <c r="E34" s="2" t="s">
        <v>268</v>
      </c>
      <c r="F34" s="2" t="s">
        <v>393</v>
      </c>
      <c r="G34" s="2" t="s">
        <v>108</v>
      </c>
      <c r="H34" s="2" t="s">
        <v>109</v>
      </c>
      <c r="I34" s="2" t="s">
        <v>39</v>
      </c>
      <c r="J34" s="2" t="s">
        <v>386</v>
      </c>
      <c r="K34" s="2" t="s">
        <v>109</v>
      </c>
      <c r="L34" s="2" t="str">
        <f>HYPERLINK("https://www.qchicken.com.tw/","開啟商品頁")</f>
        <v>開啟商品頁</v>
      </c>
      <c r="M34" s="2" t="str">
        <f>HYPERLINK("https://www.mo-qchicken.com/News/List?q=0","開啟活動頁")</f>
        <v>開啟活動頁</v>
      </c>
      <c r="N34" s="4">
        <v>60</v>
      </c>
      <c r="O34" s="4">
        <v>20</v>
      </c>
      <c r="P34" s="4">
        <v>1</v>
      </c>
      <c r="Q34" s="4">
        <v>20</v>
      </c>
      <c r="R34" s="4">
        <v>0</v>
      </c>
      <c r="S34" s="4">
        <v>20</v>
      </c>
      <c r="T34" s="4">
        <f t="shared" si="0"/>
        <v>1200</v>
      </c>
      <c r="U34" s="2" t="s">
        <v>110</v>
      </c>
      <c r="V34" s="2" t="s">
        <v>200</v>
      </c>
      <c r="W34" s="2"/>
      <c r="X34" s="2">
        <v>2950</v>
      </c>
      <c r="Y34" s="2">
        <v>2750</v>
      </c>
      <c r="Z34" s="2">
        <v>2750</v>
      </c>
      <c r="AA34" s="2"/>
      <c r="AB34" s="2"/>
      <c r="AC34" s="2"/>
      <c r="AD34" s="2"/>
      <c r="AE34" s="2"/>
      <c r="AF34" s="2">
        <v>0</v>
      </c>
      <c r="AG34" s="2" t="s">
        <v>394</v>
      </c>
      <c r="AH34" s="2">
        <f t="shared" si="1"/>
        <v>137.5</v>
      </c>
      <c r="AI34" s="2">
        <f t="shared" si="2"/>
        <v>137.5</v>
      </c>
      <c r="AJ34" s="2">
        <f t="shared" si="3"/>
        <v>229.16666666666666</v>
      </c>
      <c r="AK34" s="2">
        <f t="shared" si="4"/>
        <v>2750</v>
      </c>
      <c r="AL34" s="3">
        <f t="shared" si="5"/>
        <v>6.7796610169491567E-2</v>
      </c>
      <c r="AM34" s="3">
        <f t="shared" si="6"/>
        <v>0</v>
      </c>
      <c r="AN34" s="2" t="s">
        <v>128</v>
      </c>
      <c r="AO34" s="2">
        <v>0</v>
      </c>
      <c r="AP34" s="2" t="s">
        <v>128</v>
      </c>
      <c r="AQ34" s="2" t="s">
        <v>128</v>
      </c>
      <c r="AR34" s="2" t="s">
        <v>395</v>
      </c>
      <c r="AS34" s="2" t="s">
        <v>111</v>
      </c>
      <c r="AT34" s="2" t="s">
        <v>111</v>
      </c>
      <c r="AU34" s="2" t="s">
        <v>111</v>
      </c>
      <c r="AV34" s="2" t="s">
        <v>396</v>
      </c>
      <c r="AW34" s="2" t="s">
        <v>111</v>
      </c>
      <c r="AX34" s="2" t="s">
        <v>116</v>
      </c>
      <c r="AY34" s="2" t="s">
        <v>111</v>
      </c>
      <c r="AZ34" s="2" t="s">
        <v>200</v>
      </c>
      <c r="BA34" s="5">
        <v>46204.5</v>
      </c>
      <c r="BB34" s="5">
        <v>46234.5</v>
      </c>
      <c r="BC34" s="2" t="s">
        <v>397</v>
      </c>
      <c r="BD34" s="6">
        <v>46217.770833333336</v>
      </c>
      <c r="BE34" s="2" t="s">
        <v>118</v>
      </c>
      <c r="BF34" s="2"/>
      <c r="BG34" s="2" t="str">
        <f t="shared" ca="1" si="7"/>
        <v/>
      </c>
      <c r="BH34" s="2" t="str">
        <f t="shared" ca="1" si="8"/>
        <v/>
      </c>
      <c r="BI34" s="3" t="str">
        <f t="shared" ca="1" si="9"/>
        <v/>
      </c>
      <c r="BJ34" s="2" t="str">
        <f t="shared" ca="1" si="10"/>
        <v>不比較</v>
      </c>
    </row>
    <row r="35" spans="1:62" ht="42" customHeight="1">
      <c r="A35" s="2" t="s">
        <v>398</v>
      </c>
      <c r="B35" s="2" t="s">
        <v>399</v>
      </c>
      <c r="C35" s="2" t="s">
        <v>229</v>
      </c>
      <c r="D35" s="2" t="s">
        <v>400</v>
      </c>
      <c r="E35" s="2" t="s">
        <v>268</v>
      </c>
      <c r="F35" s="2" t="s">
        <v>401</v>
      </c>
      <c r="G35" s="2" t="s">
        <v>402</v>
      </c>
      <c r="H35" s="2" t="s">
        <v>109</v>
      </c>
      <c r="I35" s="2" t="s">
        <v>39</v>
      </c>
      <c r="J35" s="2" t="s">
        <v>386</v>
      </c>
      <c r="K35" s="2" t="s">
        <v>109</v>
      </c>
      <c r="L35" s="2" t="str">
        <f>HYPERLINK("https://www.qchicken.com.tw/","開啟商品頁")</f>
        <v>開啟商品頁</v>
      </c>
      <c r="M35" s="2" t="str">
        <f>HYPERLINK("https://www.mo-qchicken.com/News/List?q=0","開啟活動頁")</f>
        <v>開啟活動頁</v>
      </c>
      <c r="N35" s="4">
        <v>60</v>
      </c>
      <c r="O35" s="4">
        <v>20</v>
      </c>
      <c r="P35" s="4">
        <v>1</v>
      </c>
      <c r="Q35" s="4">
        <v>20</v>
      </c>
      <c r="R35" s="4">
        <v>0</v>
      </c>
      <c r="S35" s="4">
        <v>20</v>
      </c>
      <c r="T35" s="4">
        <f t="shared" si="0"/>
        <v>1200</v>
      </c>
      <c r="U35" s="2" t="s">
        <v>110</v>
      </c>
      <c r="V35" s="2" t="s">
        <v>200</v>
      </c>
      <c r="W35" s="2"/>
      <c r="X35" s="2">
        <v>3150</v>
      </c>
      <c r="Y35" s="2">
        <v>2950</v>
      </c>
      <c r="Z35" s="2">
        <v>2950</v>
      </c>
      <c r="AA35" s="2"/>
      <c r="AB35" s="2"/>
      <c r="AC35" s="2"/>
      <c r="AD35" s="2"/>
      <c r="AE35" s="2"/>
      <c r="AF35" s="2">
        <v>0</v>
      </c>
      <c r="AG35" s="2" t="s">
        <v>394</v>
      </c>
      <c r="AH35" s="2">
        <f t="shared" si="1"/>
        <v>147.5</v>
      </c>
      <c r="AI35" s="2">
        <f t="shared" si="2"/>
        <v>147.5</v>
      </c>
      <c r="AJ35" s="2">
        <f t="shared" si="3"/>
        <v>245.83333333333334</v>
      </c>
      <c r="AK35" s="2">
        <f t="shared" si="4"/>
        <v>2950</v>
      </c>
      <c r="AL35" s="3">
        <f t="shared" si="5"/>
        <v>6.3492063492063489E-2</v>
      </c>
      <c r="AM35" s="3">
        <f t="shared" si="6"/>
        <v>0</v>
      </c>
      <c r="AN35" s="2" t="s">
        <v>128</v>
      </c>
      <c r="AO35" s="2">
        <v>0</v>
      </c>
      <c r="AP35" s="2" t="s">
        <v>128</v>
      </c>
      <c r="AQ35" s="2" t="s">
        <v>128</v>
      </c>
      <c r="AR35" s="2" t="s">
        <v>395</v>
      </c>
      <c r="AS35" s="2" t="s">
        <v>111</v>
      </c>
      <c r="AT35" s="2" t="s">
        <v>111</v>
      </c>
      <c r="AU35" s="2" t="s">
        <v>111</v>
      </c>
      <c r="AV35" s="2" t="s">
        <v>403</v>
      </c>
      <c r="AW35" s="2" t="s">
        <v>111</v>
      </c>
      <c r="AX35" s="2" t="s">
        <v>116</v>
      </c>
      <c r="AY35" s="2" t="s">
        <v>111</v>
      </c>
      <c r="AZ35" s="2" t="s">
        <v>200</v>
      </c>
      <c r="BA35" s="5">
        <v>46204.5</v>
      </c>
      <c r="BB35" s="5">
        <v>46234.5</v>
      </c>
      <c r="BC35" s="2" t="s">
        <v>404</v>
      </c>
      <c r="BD35" s="6">
        <v>46217.770833333336</v>
      </c>
      <c r="BE35" s="2" t="s">
        <v>118</v>
      </c>
      <c r="BF35" s="2"/>
      <c r="BG35" s="2" t="str">
        <f t="shared" ca="1" si="7"/>
        <v/>
      </c>
      <c r="BH35" s="2" t="str">
        <f t="shared" ca="1" si="8"/>
        <v/>
      </c>
      <c r="BI35" s="3" t="str">
        <f t="shared" ca="1" si="9"/>
        <v/>
      </c>
      <c r="BJ35" s="2" t="str">
        <f t="shared" ca="1" si="10"/>
        <v>不比較</v>
      </c>
    </row>
  </sheetData>
  <phoneticPr fontId="6" type="noConversion"/>
  <conditionalFormatting sqref="BB2:BB35">
    <cfRule type="expression" dxfId="11" priority="6">
      <formula>AND($BB2&lt;&gt;"",$BB2&gt;=DATE(2026,7,14),$BB2&lt;=DATE(2026,7,21))</formula>
    </cfRule>
  </conditionalFormatting>
  <conditionalFormatting sqref="BE2:BE35">
    <cfRule type="containsText" dxfId="10" priority="1" operator="containsText" text="C"/>
    <cfRule type="containsText" dxfId="9" priority="2" operator="containsText" text="D"/>
  </conditionalFormatting>
  <conditionalFormatting sqref="BF2:BF35">
    <cfRule type="containsText" dxfId="8" priority="5" operator="containsText" text="不一致"/>
  </conditionalFormatting>
  <conditionalFormatting sqref="BI2:BI35">
    <cfRule type="cellIs" dxfId="7" priority="3" operator="greaterThan">
      <formula>0.15</formula>
    </cfRule>
  </conditionalFormatting>
  <conditionalFormatting sqref="BJ2:BJ35">
    <cfRule type="containsText" dxfId="6" priority="4" operator="containsText" text="最低價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showGridLines="0" workbookViewId="0"/>
  </sheetViews>
  <sheetFormatPr defaultRowHeight="14"/>
  <cols>
    <col min="1" max="3" width="22" customWidth="1"/>
    <col min="4" max="10" width="16" customWidth="1"/>
    <col min="11" max="12" width="28" customWidth="1"/>
    <col min="13" max="18" width="16" customWidth="1"/>
  </cols>
  <sheetData>
    <row r="1" spans="1:18" ht="34" customHeight="1">
      <c r="A1" s="1" t="s">
        <v>44</v>
      </c>
      <c r="B1" s="1" t="s">
        <v>405</v>
      </c>
      <c r="C1" s="1" t="s">
        <v>406</v>
      </c>
      <c r="D1" s="1" t="s">
        <v>21</v>
      </c>
      <c r="E1" s="1" t="s">
        <v>407</v>
      </c>
      <c r="F1" s="1" t="s">
        <v>71</v>
      </c>
      <c r="G1" s="1" t="s">
        <v>59</v>
      </c>
      <c r="H1" s="1" t="s">
        <v>75</v>
      </c>
      <c r="I1" s="1" t="s">
        <v>76</v>
      </c>
      <c r="J1" s="1" t="s">
        <v>72</v>
      </c>
      <c r="K1" s="1" t="s">
        <v>408</v>
      </c>
      <c r="L1" s="1" t="s">
        <v>409</v>
      </c>
      <c r="M1" s="1" t="s">
        <v>410</v>
      </c>
      <c r="N1" s="1" t="s">
        <v>99</v>
      </c>
      <c r="O1" s="1" t="s">
        <v>100</v>
      </c>
      <c r="P1" s="1" t="s">
        <v>411</v>
      </c>
      <c r="Q1" s="1" t="s">
        <v>43</v>
      </c>
      <c r="R1" s="1" t="s">
        <v>97</v>
      </c>
    </row>
    <row r="2" spans="1:18" ht="42" customHeight="1">
      <c r="A2" s="2" t="s">
        <v>137</v>
      </c>
      <c r="B2" s="2" t="s">
        <v>412</v>
      </c>
      <c r="C2" s="2" t="s">
        <v>413</v>
      </c>
      <c r="D2" s="2" t="s">
        <v>25</v>
      </c>
      <c r="E2" s="2">
        <f>商品完整資料!Y4</f>
        <v>1680</v>
      </c>
      <c r="F2" s="2"/>
      <c r="G2" s="2">
        <v>14</v>
      </c>
      <c r="H2" s="2">
        <f>商品完整資料!AI4</f>
        <v>120</v>
      </c>
      <c r="I2" s="2">
        <f>商品完整資料!AJ4</f>
        <v>285.71428571428572</v>
      </c>
      <c r="J2" s="2">
        <v>0</v>
      </c>
      <c r="K2" s="2" t="s">
        <v>128</v>
      </c>
      <c r="L2" s="2" t="s">
        <v>149</v>
      </c>
      <c r="M2" s="2" t="str">
        <f t="shared" ref="M2:M8" ca="1" si="0">IFERROR(_xludf.MINIFS($H$2:$H$8,$Q$2:$Q$8,Q2,$R$2:$R$8,"&lt;&gt;C",$R$2:$R$8,"&lt;&gt;D"),"")</f>
        <v/>
      </c>
      <c r="N2" s="2" t="str">
        <f t="shared" ref="N2:N8" ca="1" si="1">IF(OR(H2="",M2=""),"",H2-M2)</f>
        <v/>
      </c>
      <c r="O2" s="3" t="str">
        <f t="shared" ref="O2:O8" ca="1" si="2">IFERROR(N2/M2,"")</f>
        <v/>
      </c>
      <c r="P2" s="2" t="str">
        <f t="shared" ref="P2:P8" ca="1" si="3">IF(OR(H2="",M2=""),"不比較",IF(ABS(H2-M2)&lt;0.01,"最低價","非最低價"))</f>
        <v>不比較</v>
      </c>
      <c r="Q2" s="2" t="s">
        <v>136</v>
      </c>
      <c r="R2" s="2" t="s">
        <v>148</v>
      </c>
    </row>
    <row r="3" spans="1:18" ht="42" customHeight="1">
      <c r="A3" s="2" t="s">
        <v>137</v>
      </c>
      <c r="B3" s="2" t="s">
        <v>412</v>
      </c>
      <c r="C3" s="2" t="s">
        <v>414</v>
      </c>
      <c r="D3" s="2" t="s">
        <v>25</v>
      </c>
      <c r="E3" s="2">
        <f>商品完整資料!Y5</f>
        <v>3080</v>
      </c>
      <c r="F3" s="2"/>
      <c r="G3" s="2">
        <v>28</v>
      </c>
      <c r="H3" s="2">
        <f>商品完整資料!AI5</f>
        <v>110</v>
      </c>
      <c r="I3" s="2">
        <f>商品完整資料!AJ5</f>
        <v>261.90476190476193</v>
      </c>
      <c r="J3" s="2">
        <v>0</v>
      </c>
      <c r="K3" s="2" t="s">
        <v>128</v>
      </c>
      <c r="L3" s="2" t="s">
        <v>128</v>
      </c>
      <c r="M3" s="2" t="str">
        <f t="shared" ca="1" si="0"/>
        <v/>
      </c>
      <c r="N3" s="2" t="str">
        <f t="shared" ca="1" si="1"/>
        <v/>
      </c>
      <c r="O3" s="3" t="str">
        <f t="shared" ca="1" si="2"/>
        <v/>
      </c>
      <c r="P3" s="2" t="str">
        <f t="shared" ca="1" si="3"/>
        <v>不比較</v>
      </c>
      <c r="Q3" s="2" t="s">
        <v>151</v>
      </c>
      <c r="R3" s="2" t="s">
        <v>148</v>
      </c>
    </row>
    <row r="4" spans="1:18" ht="42" customHeight="1">
      <c r="A4" s="2" t="s">
        <v>137</v>
      </c>
      <c r="B4" s="2" t="s">
        <v>412</v>
      </c>
      <c r="C4" s="2" t="s">
        <v>414</v>
      </c>
      <c r="D4" s="2" t="s">
        <v>28</v>
      </c>
      <c r="E4" s="2">
        <f>商品完整資料!Y9</f>
        <v>3080</v>
      </c>
      <c r="F4" s="2"/>
      <c r="G4" s="2">
        <v>28</v>
      </c>
      <c r="H4" s="2">
        <f>商品完整資料!AI9</f>
        <v>110</v>
      </c>
      <c r="I4" s="2">
        <f>商品完整資料!AJ9</f>
        <v>261.90476190476193</v>
      </c>
      <c r="J4" s="2">
        <v>0</v>
      </c>
      <c r="K4" s="2" t="s">
        <v>415</v>
      </c>
      <c r="L4" s="2" t="s">
        <v>194</v>
      </c>
      <c r="M4" s="2" t="str">
        <f t="shared" ca="1" si="0"/>
        <v/>
      </c>
      <c r="N4" s="2" t="str">
        <f t="shared" ca="1" si="1"/>
        <v/>
      </c>
      <c r="O4" s="3" t="str">
        <f t="shared" ca="1" si="2"/>
        <v/>
      </c>
      <c r="P4" s="2" t="str">
        <f t="shared" ca="1" si="3"/>
        <v>不比較</v>
      </c>
      <c r="Q4" s="2" t="s">
        <v>151</v>
      </c>
      <c r="R4" s="2" t="s">
        <v>148</v>
      </c>
    </row>
    <row r="5" spans="1:18" ht="42" customHeight="1">
      <c r="A5" s="2" t="s">
        <v>218</v>
      </c>
      <c r="B5" s="2" t="s">
        <v>416</v>
      </c>
      <c r="C5" s="2" t="s">
        <v>417</v>
      </c>
      <c r="D5" s="2" t="s">
        <v>28</v>
      </c>
      <c r="E5" s="2">
        <f>商品完整資料!Y13</f>
        <v>3116</v>
      </c>
      <c r="F5" s="2"/>
      <c r="G5" s="2">
        <v>20</v>
      </c>
      <c r="H5" s="2">
        <f>商品完整資料!AI13</f>
        <v>155.80000000000001</v>
      </c>
      <c r="I5" s="2">
        <f>商品完整資料!AJ13</f>
        <v>239.69230769230768</v>
      </c>
      <c r="J5" s="2">
        <v>0</v>
      </c>
      <c r="K5" s="2" t="s">
        <v>128</v>
      </c>
      <c r="L5" s="2" t="s">
        <v>128</v>
      </c>
      <c r="M5" s="2" t="str">
        <f t="shared" ca="1" si="0"/>
        <v/>
      </c>
      <c r="N5" s="2" t="str">
        <f t="shared" ca="1" si="1"/>
        <v/>
      </c>
      <c r="O5" s="3" t="str">
        <f t="shared" ca="1" si="2"/>
        <v/>
      </c>
      <c r="P5" s="2" t="str">
        <f t="shared" ca="1" si="3"/>
        <v>不比較</v>
      </c>
      <c r="Q5" s="2" t="s">
        <v>224</v>
      </c>
      <c r="R5" s="2" t="s">
        <v>118</v>
      </c>
    </row>
    <row r="6" spans="1:18" ht="42" customHeight="1">
      <c r="A6" s="2" t="s">
        <v>137</v>
      </c>
      <c r="B6" s="2" t="s">
        <v>412</v>
      </c>
      <c r="C6" s="2" t="s">
        <v>413</v>
      </c>
      <c r="D6" s="2" t="s">
        <v>33</v>
      </c>
      <c r="E6" s="2">
        <f>商品完整資料!Y20</f>
        <v>1680</v>
      </c>
      <c r="F6" s="2"/>
      <c r="G6" s="2">
        <v>14</v>
      </c>
      <c r="H6" s="2">
        <f>商品完整資料!AI20</f>
        <v>120</v>
      </c>
      <c r="I6" s="2">
        <f>商品完整資料!AJ20</f>
        <v>285.71428571428572</v>
      </c>
      <c r="J6" s="2">
        <v>0</v>
      </c>
      <c r="K6" s="2" t="s">
        <v>286</v>
      </c>
      <c r="L6" s="2" t="s">
        <v>287</v>
      </c>
      <c r="M6" s="2" t="str">
        <f t="shared" ca="1" si="0"/>
        <v/>
      </c>
      <c r="N6" s="2" t="str">
        <f t="shared" ca="1" si="1"/>
        <v/>
      </c>
      <c r="O6" s="3" t="str">
        <f t="shared" ca="1" si="2"/>
        <v/>
      </c>
      <c r="P6" s="2" t="str">
        <f t="shared" ca="1" si="3"/>
        <v>不比較</v>
      </c>
      <c r="Q6" s="2" t="s">
        <v>136</v>
      </c>
      <c r="R6" s="2" t="s">
        <v>118</v>
      </c>
    </row>
    <row r="7" spans="1:18" ht="42" customHeight="1">
      <c r="A7" s="2" t="s">
        <v>137</v>
      </c>
      <c r="B7" s="2" t="s">
        <v>412</v>
      </c>
      <c r="C7" s="2" t="s">
        <v>413</v>
      </c>
      <c r="D7" s="2" t="s">
        <v>33</v>
      </c>
      <c r="E7" s="2">
        <f>商品完整資料!Y21</f>
        <v>0</v>
      </c>
      <c r="F7" s="2">
        <v>1510</v>
      </c>
      <c r="G7" s="2">
        <v>14</v>
      </c>
      <c r="H7" s="2">
        <f>商品完整資料!AI21</f>
        <v>0</v>
      </c>
      <c r="I7" s="2">
        <f>商品完整資料!AJ21</f>
        <v>0</v>
      </c>
      <c r="J7" s="2">
        <v>0</v>
      </c>
      <c r="K7" s="2" t="s">
        <v>128</v>
      </c>
      <c r="L7" s="2" t="s">
        <v>297</v>
      </c>
      <c r="M7" s="2" t="str">
        <f t="shared" ca="1" si="0"/>
        <v/>
      </c>
      <c r="N7" s="2" t="str">
        <f t="shared" ca="1" si="1"/>
        <v/>
      </c>
      <c r="O7" s="3" t="str">
        <f t="shared" ca="1" si="2"/>
        <v/>
      </c>
      <c r="P7" s="2" t="str">
        <f t="shared" ca="1" si="3"/>
        <v>不比較</v>
      </c>
      <c r="Q7" s="2" t="s">
        <v>136</v>
      </c>
      <c r="R7" s="2" t="s">
        <v>166</v>
      </c>
    </row>
    <row r="8" spans="1:18" ht="42" customHeight="1">
      <c r="A8" s="2" t="s">
        <v>218</v>
      </c>
      <c r="B8" s="2" t="s">
        <v>416</v>
      </c>
      <c r="C8" s="2" t="s">
        <v>417</v>
      </c>
      <c r="D8" s="2" t="s">
        <v>374</v>
      </c>
      <c r="E8" s="2">
        <f>商品完整資料!Y31</f>
        <v>0</v>
      </c>
      <c r="F8" s="2"/>
      <c r="G8" s="2">
        <v>20</v>
      </c>
      <c r="H8" s="2">
        <f>商品完整資料!AI31</f>
        <v>0</v>
      </c>
      <c r="I8" s="2">
        <f>商品完整資料!AJ31</f>
        <v>0</v>
      </c>
      <c r="J8" s="2"/>
      <c r="K8" s="2" t="s">
        <v>128</v>
      </c>
      <c r="L8" s="2" t="s">
        <v>377</v>
      </c>
      <c r="M8" s="2" t="str">
        <f t="shared" ca="1" si="0"/>
        <v/>
      </c>
      <c r="N8" s="2" t="str">
        <f t="shared" ca="1" si="1"/>
        <v/>
      </c>
      <c r="O8" s="3" t="str">
        <f t="shared" ca="1" si="2"/>
        <v/>
      </c>
      <c r="P8" s="2" t="str">
        <f t="shared" ca="1" si="3"/>
        <v>不比較</v>
      </c>
      <c r="Q8" s="2" t="s">
        <v>224</v>
      </c>
      <c r="R8" s="2" t="s">
        <v>376</v>
      </c>
    </row>
  </sheetData>
  <phoneticPr fontId="6" type="noConversion"/>
  <conditionalFormatting sqref="O2:O8">
    <cfRule type="cellIs" dxfId="5" priority="1" operator="greaterThan">
      <formula>0.15</formula>
    </cfRule>
  </conditionalFormatting>
  <conditionalFormatting sqref="P2:P8">
    <cfRule type="containsText" dxfId="4" priority="2" operator="containsText" text="最低價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showGridLines="0" workbookViewId="0"/>
  </sheetViews>
  <sheetFormatPr defaultRowHeight="14"/>
  <cols>
    <col min="1" max="2" width="18" customWidth="1"/>
    <col min="3" max="3" width="42" customWidth="1"/>
    <col min="6" max="8" width="30" customWidth="1"/>
    <col min="9" max="10" width="14" customWidth="1"/>
  </cols>
  <sheetData>
    <row r="1" spans="1:10" ht="34" customHeight="1">
      <c r="A1" s="1" t="s">
        <v>21</v>
      </c>
      <c r="B1" s="1" t="s">
        <v>44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  <c r="I1" s="1" t="s">
        <v>424</v>
      </c>
      <c r="J1" s="1" t="s">
        <v>97</v>
      </c>
    </row>
    <row r="2" spans="1:10" ht="42" customHeight="1">
      <c r="A2" s="2" t="s">
        <v>25</v>
      </c>
      <c r="B2" s="2" t="s">
        <v>104</v>
      </c>
      <c r="C2" s="2" t="s">
        <v>105</v>
      </c>
      <c r="D2" s="2">
        <v>3136</v>
      </c>
      <c r="E2" s="2">
        <f>商品完整資料!AI2</f>
        <v>95.030303030303031</v>
      </c>
      <c r="F2" s="2" t="s">
        <v>425</v>
      </c>
      <c r="G2" s="2" t="s">
        <v>112</v>
      </c>
      <c r="H2" s="2" t="s">
        <v>117</v>
      </c>
      <c r="I2" s="2" t="str">
        <f>HYPERLINK("https://www.momoshop.com.tw/product/6407780","開啟來源")</f>
        <v>開啟來源</v>
      </c>
      <c r="J2" s="2" t="s">
        <v>118</v>
      </c>
    </row>
    <row r="3" spans="1:10" ht="42" customHeight="1">
      <c r="A3" s="2" t="s">
        <v>25</v>
      </c>
      <c r="B3" s="2" t="s">
        <v>137</v>
      </c>
      <c r="C3" s="2" t="s">
        <v>138</v>
      </c>
      <c r="D3" s="2">
        <v>1680</v>
      </c>
      <c r="E3" s="2">
        <f>商品完整資料!AI4</f>
        <v>120</v>
      </c>
      <c r="F3" s="2" t="s">
        <v>426</v>
      </c>
      <c r="G3" s="2" t="s">
        <v>128</v>
      </c>
      <c r="H3" s="2" t="s">
        <v>147</v>
      </c>
      <c r="I3" s="2" t="str">
        <f>HYPERLINK("https://www.momoshop.com.tw/product/5327922","開啟來源")</f>
        <v>開啟來源</v>
      </c>
      <c r="J3" s="2" t="s">
        <v>148</v>
      </c>
    </row>
    <row r="4" spans="1:10" ht="42" customHeight="1">
      <c r="A4" s="2" t="s">
        <v>25</v>
      </c>
      <c r="B4" s="2" t="s">
        <v>156</v>
      </c>
      <c r="C4" s="2" t="s">
        <v>157</v>
      </c>
      <c r="D4" s="2">
        <v>3500</v>
      </c>
      <c r="E4" s="2">
        <f>商品完整資料!AI6</f>
        <v>140</v>
      </c>
      <c r="F4" s="2" t="s">
        <v>66</v>
      </c>
      <c r="G4" s="2" t="s">
        <v>128</v>
      </c>
      <c r="H4" s="2" t="s">
        <v>165</v>
      </c>
      <c r="I4" s="2" t="str">
        <f>HYPERLINK("https://www.momoshop.com.tw/product/11976211","開啟來源")</f>
        <v>開啟來源</v>
      </c>
      <c r="J4" s="2" t="s">
        <v>166</v>
      </c>
    </row>
    <row r="5" spans="1:10" ht="42" customHeight="1">
      <c r="A5" s="2" t="s">
        <v>25</v>
      </c>
      <c r="B5" s="2" t="s">
        <v>170</v>
      </c>
      <c r="C5" s="2" t="s">
        <v>179</v>
      </c>
      <c r="D5" s="2">
        <v>4380</v>
      </c>
      <c r="E5" s="2">
        <f>商品完整資料!AI8</f>
        <v>156.42857142857142</v>
      </c>
      <c r="F5" s="2" t="s">
        <v>427</v>
      </c>
      <c r="G5" s="2" t="s">
        <v>180</v>
      </c>
      <c r="H5" s="2" t="s">
        <v>183</v>
      </c>
      <c r="I5" s="2" t="str">
        <f>HYPERLINK("https://www.momoshop.com.tw/product/10086436","開啟來源")</f>
        <v>開啟來源</v>
      </c>
      <c r="J5" s="2" t="s">
        <v>166</v>
      </c>
    </row>
    <row r="6" spans="1:10" ht="42" customHeight="1">
      <c r="A6" s="2" t="s">
        <v>28</v>
      </c>
      <c r="B6" s="2" t="s">
        <v>137</v>
      </c>
      <c r="C6" s="2" t="s">
        <v>186</v>
      </c>
      <c r="D6" s="2">
        <v>3080</v>
      </c>
      <c r="E6" s="2">
        <f>商品完整資料!AI9</f>
        <v>110</v>
      </c>
      <c r="F6" s="2" t="s">
        <v>425</v>
      </c>
      <c r="G6" s="2" t="s">
        <v>189</v>
      </c>
      <c r="H6" s="2" t="s">
        <v>193</v>
      </c>
      <c r="I6" s="2" t="str">
        <f>HYPERLINK("https://24h.pchome.com.tw/prod/DBDJ05-1900FOWPN","開啟來源")</f>
        <v>開啟來源</v>
      </c>
      <c r="J6" s="2" t="s">
        <v>148</v>
      </c>
    </row>
    <row r="7" spans="1:10" ht="42" customHeight="1">
      <c r="A7" s="2" t="s">
        <v>28</v>
      </c>
      <c r="B7" s="2" t="s">
        <v>197</v>
      </c>
      <c r="C7" s="2" t="s">
        <v>198</v>
      </c>
      <c r="D7" s="2">
        <v>4999</v>
      </c>
      <c r="E7" s="2">
        <f>商品完整資料!AI10</f>
        <v>124.97499999999999</v>
      </c>
      <c r="F7" s="2" t="s">
        <v>66</v>
      </c>
      <c r="G7" s="2" t="s">
        <v>128</v>
      </c>
      <c r="H7" s="2" t="s">
        <v>206</v>
      </c>
      <c r="I7" s="2" t="str">
        <f>HYPERLINK("https://24h.pchome.com.tw/prod/QFCL5N-A900ARZ7G","開啟來源")</f>
        <v>開啟來源</v>
      </c>
      <c r="J7" s="2" t="s">
        <v>148</v>
      </c>
    </row>
    <row r="8" spans="1:10" ht="42" customHeight="1">
      <c r="A8" s="2" t="s">
        <v>28</v>
      </c>
      <c r="B8" s="2" t="s">
        <v>229</v>
      </c>
      <c r="C8" s="2" t="s">
        <v>230</v>
      </c>
      <c r="D8" s="2">
        <v>5500</v>
      </c>
      <c r="E8" s="2">
        <f>商品完整資料!AI14</f>
        <v>137.5</v>
      </c>
      <c r="F8" s="2" t="s">
        <v>66</v>
      </c>
      <c r="G8" s="2" t="s">
        <v>128</v>
      </c>
      <c r="H8" s="2" t="s">
        <v>232</v>
      </c>
      <c r="I8" s="2" t="str">
        <f>HYPERLINK("https://24h.pchome.com.tw/prod/DBBBEC-A900GRIZ3","開啟來源")</f>
        <v>開啟來源</v>
      </c>
      <c r="J8" s="2" t="s">
        <v>118</v>
      </c>
    </row>
    <row r="9" spans="1:10" ht="42" customHeight="1">
      <c r="A9" s="2" t="s">
        <v>28</v>
      </c>
      <c r="B9" s="2" t="s">
        <v>235</v>
      </c>
      <c r="C9" s="2" t="s">
        <v>236</v>
      </c>
      <c r="D9" s="2">
        <v>3180</v>
      </c>
      <c r="E9" s="2">
        <f>商品完整資料!AI15</f>
        <v>106</v>
      </c>
      <c r="F9" s="2" t="s">
        <v>425</v>
      </c>
      <c r="G9" s="2" t="s">
        <v>237</v>
      </c>
      <c r="H9" s="2" t="s">
        <v>243</v>
      </c>
      <c r="I9" s="2" t="str">
        <f>HYPERLINK("https://24h.pchome.com.tw/prod/DBBB86-1900BA8VM","開啟來源")</f>
        <v>開啟來源</v>
      </c>
      <c r="J9" s="2" t="s">
        <v>148</v>
      </c>
    </row>
    <row r="10" spans="1:10" ht="42" customHeight="1">
      <c r="A10" s="2" t="s">
        <v>31</v>
      </c>
      <c r="B10" s="2" t="s">
        <v>104</v>
      </c>
      <c r="C10" s="2" t="s">
        <v>246</v>
      </c>
      <c r="D10" s="2">
        <v>2588</v>
      </c>
      <c r="E10" s="2">
        <f>商品完整資料!AI16</f>
        <v>78.424242424242422</v>
      </c>
      <c r="F10" s="2" t="s">
        <v>428</v>
      </c>
      <c r="G10" s="2" t="s">
        <v>249</v>
      </c>
      <c r="H10" s="2" t="s">
        <v>253</v>
      </c>
      <c r="I10" s="2" t="str">
        <f>HYPERLINK("https://tw.buy.yahoo.com/gdsale/一午一食-臻純粹滴雞精30入-環保包裝-65ml--8172977.html","開啟來源")</f>
        <v>開啟來源</v>
      </c>
      <c r="J10" s="2" t="s">
        <v>148</v>
      </c>
    </row>
    <row r="11" spans="1:10" ht="42" customHeight="1">
      <c r="A11" s="2" t="s">
        <v>31</v>
      </c>
      <c r="B11" s="2" t="s">
        <v>104</v>
      </c>
      <c r="C11" s="2" t="s">
        <v>257</v>
      </c>
      <c r="D11" s="2">
        <v>1099</v>
      </c>
      <c r="E11" s="2">
        <f>商品完整資料!AI17</f>
        <v>109.9</v>
      </c>
      <c r="F11" s="2" t="s">
        <v>428</v>
      </c>
      <c r="G11" s="2" t="s">
        <v>259</v>
      </c>
      <c r="H11" s="2" t="s">
        <v>264</v>
      </c>
      <c r="I11" s="2" t="str">
        <f>HYPERLINK("https://tw.buy.yahoo.com/gdsale/一午一食-臻純粹滴雞精10入禮盒-六種口味任選-10693501.html","開啟來源")</f>
        <v>開啟來源</v>
      </c>
      <c r="J11" s="2" t="s">
        <v>118</v>
      </c>
    </row>
    <row r="12" spans="1:10" ht="42" customHeight="1">
      <c r="A12" s="2" t="s">
        <v>31</v>
      </c>
      <c r="B12" s="2" t="s">
        <v>229</v>
      </c>
      <c r="C12" s="2" t="s">
        <v>267</v>
      </c>
      <c r="D12" s="2">
        <v>3115</v>
      </c>
      <c r="E12" s="2">
        <f>商品完整資料!AI18</f>
        <v>155.75</v>
      </c>
      <c r="F12" s="2" t="s">
        <v>429</v>
      </c>
      <c r="G12" s="2" t="s">
        <v>128</v>
      </c>
      <c r="H12" s="2" t="s">
        <v>272</v>
      </c>
      <c r="I12" s="2" t="str">
        <f>HYPERLINK("https://tw.buy.yahoo.com/gdsale/田原香-四神滴雞精20入-60ml-8258754.html","開啟來源")</f>
        <v>開啟來源</v>
      </c>
      <c r="J12" s="2" t="s">
        <v>118</v>
      </c>
    </row>
    <row r="13" spans="1:10" ht="42" customHeight="1">
      <c r="A13" s="2" t="s">
        <v>33</v>
      </c>
      <c r="B13" s="2" t="s">
        <v>275</v>
      </c>
      <c r="C13" s="2" t="s">
        <v>276</v>
      </c>
      <c r="D13" s="2"/>
      <c r="E13" s="2">
        <f>商品完整資料!AI19</f>
        <v>0</v>
      </c>
      <c r="F13" s="2" t="s">
        <v>425</v>
      </c>
      <c r="G13" s="2" t="s">
        <v>278</v>
      </c>
      <c r="H13" s="2" t="s">
        <v>281</v>
      </c>
      <c r="I13" s="2" t="str">
        <f>HYPERLINK("https://shopee.tw/【大成食品】慢熬常溫雞精(50ml-7包-盒)-雙盒組加送美心皇家保鮮盒-i.302162413.24116087687","開啟來源")</f>
        <v>開啟來源</v>
      </c>
      <c r="J13" s="2" t="s">
        <v>166</v>
      </c>
    </row>
    <row r="14" spans="1:10" ht="42" customHeight="1">
      <c r="A14" s="2" t="s">
        <v>33</v>
      </c>
      <c r="B14" s="2" t="s">
        <v>137</v>
      </c>
      <c r="C14" s="2" t="s">
        <v>284</v>
      </c>
      <c r="D14" s="2">
        <v>1680</v>
      </c>
      <c r="E14" s="2">
        <f>商品完整資料!AI20</f>
        <v>120</v>
      </c>
      <c r="F14" s="2" t="s">
        <v>425</v>
      </c>
      <c r="G14" s="2" t="s">
        <v>286</v>
      </c>
      <c r="H14" s="2" t="s">
        <v>289</v>
      </c>
      <c r="I14" s="2" t="str">
        <f>HYPERLINK("https://shopee.tw/【老協珍】熬雞精14入(常溫-健字號-術後保養-補充體力)官方直營-i.340883229.4164754697","開啟來源")</f>
        <v>開啟來源</v>
      </c>
      <c r="J14" s="2" t="s">
        <v>118</v>
      </c>
    </row>
    <row r="15" spans="1:10" ht="42" customHeight="1">
      <c r="A15" s="2" t="s">
        <v>33</v>
      </c>
      <c r="B15" s="2" t="s">
        <v>300</v>
      </c>
      <c r="C15" s="2" t="s">
        <v>301</v>
      </c>
      <c r="D15" s="2">
        <v>939</v>
      </c>
      <c r="E15" s="2">
        <f>商品完整資料!AI22</f>
        <v>104.33333333333333</v>
      </c>
      <c r="F15" s="2" t="s">
        <v>425</v>
      </c>
      <c r="G15" s="2" t="s">
        <v>286</v>
      </c>
      <c r="H15" s="2" t="s">
        <v>307</v>
      </c>
      <c r="I15" s="2" t="str">
        <f>HYPERLINK("https://shopee.tw/白蘭氏萃雞精-膠原蛋白菁萃(42ml-x-9入)-官方直營-i.858605061.23314295357","開啟來源")</f>
        <v>開啟來源</v>
      </c>
      <c r="J15" s="2" t="s">
        <v>118</v>
      </c>
    </row>
    <row r="16" spans="1:10" ht="42" customHeight="1">
      <c r="A16" s="2" t="s">
        <v>36</v>
      </c>
      <c r="B16" s="2" t="s">
        <v>310</v>
      </c>
      <c r="C16" s="2" t="s">
        <v>311</v>
      </c>
      <c r="D16" s="2">
        <v>1625</v>
      </c>
      <c r="E16" s="2">
        <f>商品完整資料!AI23</f>
        <v>101.5625</v>
      </c>
      <c r="F16" s="2" t="s">
        <v>65</v>
      </c>
      <c r="G16" s="2" t="s">
        <v>128</v>
      </c>
      <c r="H16" s="2" t="s">
        <v>318</v>
      </c>
      <c r="I16" s="2" t="str">
        <f>HYPERLINK("https://www.costco.com.tw/c/Shih-An-Farm-Chicken-Essence-65-ml-X-16-Pack/p/130795","開啟來源")</f>
        <v>開啟來源</v>
      </c>
      <c r="J16" s="2" t="s">
        <v>148</v>
      </c>
    </row>
    <row r="17" spans="1:10" ht="42" customHeight="1">
      <c r="A17" s="2" t="s">
        <v>36</v>
      </c>
      <c r="B17" s="2" t="s">
        <v>137</v>
      </c>
      <c r="C17" s="2" t="s">
        <v>321</v>
      </c>
      <c r="D17" s="2">
        <v>3999</v>
      </c>
      <c r="E17" s="2">
        <f>商品完整資料!AI24</f>
        <v>133.30000000000001</v>
      </c>
      <c r="F17" s="2" t="s">
        <v>65</v>
      </c>
      <c r="G17" s="2" t="s">
        <v>128</v>
      </c>
      <c r="H17" s="2" t="s">
        <v>325</v>
      </c>
      <c r="I17" s="2" t="str">
        <f>HYPERLINK("https://www.costco.com.tw/Health-Beauty/Elderly-Care/Supplements/Lao-Xie-Zhen-Frozen-Chicken-Essence-68-ml-X-30-Pack/p/118552","開啟來源")</f>
        <v>開啟來源</v>
      </c>
      <c r="J17" s="2" t="s">
        <v>148</v>
      </c>
    </row>
    <row r="18" spans="1:10" ht="42" customHeight="1">
      <c r="A18" s="2" t="s">
        <v>36</v>
      </c>
      <c r="B18" s="2" t="s">
        <v>275</v>
      </c>
      <c r="C18" s="2" t="s">
        <v>332</v>
      </c>
      <c r="D18" s="2">
        <v>2949</v>
      </c>
      <c r="E18" s="2">
        <f>商品完整資料!AI26</f>
        <v>98.3</v>
      </c>
      <c r="F18" s="2" t="s">
        <v>65</v>
      </c>
      <c r="G18" s="2" t="s">
        <v>128</v>
      </c>
      <c r="H18" s="2" t="s">
        <v>337</v>
      </c>
      <c r="I18" s="2" t="str">
        <f>HYPERLINK("https://www.costco.com.tw/Health-Beauty/Elderly-Care/Supplements/Dachan-Frozen-Pure-Chicken-Essence-100-ml-X-30-Count/p/127511","開啟來源")</f>
        <v>開啟來源</v>
      </c>
      <c r="J18" s="2" t="s">
        <v>148</v>
      </c>
    </row>
    <row r="19" spans="1:10" ht="42" customHeight="1">
      <c r="A19" s="2" t="s">
        <v>36</v>
      </c>
      <c r="B19" s="2" t="s">
        <v>300</v>
      </c>
      <c r="C19" s="2" t="s">
        <v>340</v>
      </c>
      <c r="D19" s="2">
        <v>1479</v>
      </c>
      <c r="E19" s="2">
        <f>商品完整資料!AI27</f>
        <v>46.21875</v>
      </c>
      <c r="F19" s="2" t="s">
        <v>430</v>
      </c>
      <c r="G19" s="2" t="s">
        <v>342</v>
      </c>
      <c r="H19" s="2" t="s">
        <v>347</v>
      </c>
      <c r="I19" s="2" t="str">
        <f>HYPERLINK("https://www.costco.com.tw/c/Brands-Essence-of-Chicken-68-ml-X-30-Count-41-ml-X-2-Count/p/145184","開啟來源")</f>
        <v>開啟來源</v>
      </c>
      <c r="J19" s="2" t="s">
        <v>148</v>
      </c>
    </row>
    <row r="20" spans="1:10" ht="42" customHeight="1">
      <c r="A20" s="2" t="s">
        <v>354</v>
      </c>
      <c r="B20" s="2" t="s">
        <v>209</v>
      </c>
      <c r="C20" s="2" t="s">
        <v>351</v>
      </c>
      <c r="D20" s="2"/>
      <c r="E20" s="2">
        <f>商品完整資料!AI28</f>
        <v>0</v>
      </c>
      <c r="F20" s="2" t="s">
        <v>425</v>
      </c>
      <c r="G20" s="2" t="s">
        <v>355</v>
      </c>
      <c r="H20" s="2" t="s">
        <v>357</v>
      </c>
      <c r="I20" s="2" t="str">
        <f>HYPERLINK("https://www.etmall.com.tw/i/7496138","開啟來源")</f>
        <v>開啟來源</v>
      </c>
      <c r="J20" s="2" t="s">
        <v>166</v>
      </c>
    </row>
    <row r="21" spans="1:10" ht="42" customHeight="1">
      <c r="A21" s="2" t="s">
        <v>354</v>
      </c>
      <c r="B21" s="2" t="s">
        <v>209</v>
      </c>
      <c r="C21" s="2" t="s">
        <v>361</v>
      </c>
      <c r="D21" s="2"/>
      <c r="E21" s="2">
        <f>商品完整資料!AI29</f>
        <v>0</v>
      </c>
      <c r="F21" s="2" t="s">
        <v>66</v>
      </c>
      <c r="G21" s="2" t="s">
        <v>128</v>
      </c>
      <c r="H21" s="2" t="s">
        <v>364</v>
      </c>
      <c r="I21" s="2" t="str">
        <f>HYPERLINK("https://www.etmall.com.tw/i/7423754","開啟來源")</f>
        <v>開啟來源</v>
      </c>
      <c r="J21" s="2" t="s">
        <v>166</v>
      </c>
    </row>
    <row r="22" spans="1:10" ht="42" customHeight="1">
      <c r="A22" s="2" t="s">
        <v>354</v>
      </c>
      <c r="B22" s="2" t="s">
        <v>197</v>
      </c>
      <c r="C22" s="2" t="s">
        <v>368</v>
      </c>
      <c r="D22" s="2"/>
      <c r="E22" s="2">
        <f>商品完整資料!AI30</f>
        <v>0</v>
      </c>
      <c r="F22" s="2" t="s">
        <v>66</v>
      </c>
      <c r="G22" s="2" t="s">
        <v>128</v>
      </c>
      <c r="H22" s="2" t="s">
        <v>370</v>
      </c>
      <c r="I22" s="2" t="str">
        <f>HYPERLINK("https://www.etmall.com.tw/i/3295233","開啟來源")</f>
        <v>開啟來源</v>
      </c>
      <c r="J22" s="2" t="s">
        <v>166</v>
      </c>
    </row>
    <row r="23" spans="1:10" ht="42" customHeight="1">
      <c r="A23" s="2" t="s">
        <v>374</v>
      </c>
      <c r="B23" s="2" t="s">
        <v>218</v>
      </c>
      <c r="C23" s="2" t="s">
        <v>373</v>
      </c>
      <c r="D23" s="2"/>
      <c r="E23" s="2">
        <f>商品完整資料!AI31</f>
        <v>0</v>
      </c>
      <c r="F23" s="2" t="s">
        <v>66</v>
      </c>
      <c r="G23" s="2" t="s">
        <v>128</v>
      </c>
      <c r="H23" s="2" t="s">
        <v>375</v>
      </c>
      <c r="I23" s="2" t="str">
        <f>HYPERLINK("https://www.books.com.tw/products/N012944996","開啟來源")</f>
        <v>開啟來源</v>
      </c>
      <c r="J23" s="2" t="s">
        <v>376</v>
      </c>
    </row>
    <row r="24" spans="1:10" ht="42" customHeight="1">
      <c r="A24" s="2" t="s">
        <v>374</v>
      </c>
      <c r="B24" s="2" t="s">
        <v>218</v>
      </c>
      <c r="C24" s="2" t="s">
        <v>380</v>
      </c>
      <c r="D24" s="2"/>
      <c r="E24" s="2">
        <f>商品完整資料!AI32</f>
        <v>0</v>
      </c>
      <c r="F24" s="2" t="s">
        <v>66</v>
      </c>
      <c r="G24" s="2" t="s">
        <v>128</v>
      </c>
      <c r="H24" s="2" t="s">
        <v>375</v>
      </c>
      <c r="I24" s="2" t="str">
        <f>HYPERLINK("https://www.books.com.tw/products/N001283167","開啟來源")</f>
        <v>開啟來源</v>
      </c>
      <c r="J24" s="2" t="s">
        <v>376</v>
      </c>
    </row>
    <row r="25" spans="1:10" ht="42" customHeight="1">
      <c r="A25" s="2" t="s">
        <v>39</v>
      </c>
      <c r="B25" s="2" t="s">
        <v>229</v>
      </c>
      <c r="C25" s="2" t="s">
        <v>384</v>
      </c>
      <c r="D25" s="2">
        <v>5400</v>
      </c>
      <c r="E25" s="2">
        <f>商品完整資料!AI33</f>
        <v>135</v>
      </c>
      <c r="F25" s="2" t="s">
        <v>66</v>
      </c>
      <c r="G25" s="2" t="s">
        <v>128</v>
      </c>
      <c r="H25" s="2" t="s">
        <v>389</v>
      </c>
      <c r="I25" s="2" t="str">
        <f>HYPERLINK("https://www.qchicken.com.tw/","開啟來源")</f>
        <v>開啟來源</v>
      </c>
      <c r="J25" s="2" t="s">
        <v>118</v>
      </c>
    </row>
    <row r="26" spans="1:10" ht="42" customHeight="1">
      <c r="A26" s="2" t="s">
        <v>39</v>
      </c>
      <c r="B26" s="2" t="s">
        <v>229</v>
      </c>
      <c r="C26" s="2" t="s">
        <v>392</v>
      </c>
      <c r="D26" s="2">
        <v>2750</v>
      </c>
      <c r="E26" s="2">
        <f>商品完整資料!AI34</f>
        <v>137.5</v>
      </c>
      <c r="F26" s="2" t="s">
        <v>66</v>
      </c>
      <c r="G26" s="2" t="s">
        <v>128</v>
      </c>
      <c r="H26" s="2" t="s">
        <v>397</v>
      </c>
      <c r="I26" s="2" t="str">
        <f>HYPERLINK("https://www.qchicken.com.tw/","開啟來源")</f>
        <v>開啟來源</v>
      </c>
      <c r="J26" s="2" t="s">
        <v>118</v>
      </c>
    </row>
    <row r="27" spans="1:10" ht="42" customHeight="1">
      <c r="A27" s="2" t="s">
        <v>39</v>
      </c>
      <c r="B27" s="2" t="s">
        <v>229</v>
      </c>
      <c r="C27" s="2" t="s">
        <v>400</v>
      </c>
      <c r="D27" s="2">
        <v>2950</v>
      </c>
      <c r="E27" s="2">
        <f>商品完整資料!AI35</f>
        <v>147.5</v>
      </c>
      <c r="F27" s="2" t="s">
        <v>66</v>
      </c>
      <c r="G27" s="2" t="s">
        <v>128</v>
      </c>
      <c r="H27" s="2" t="s">
        <v>404</v>
      </c>
      <c r="I27" s="2" t="str">
        <f>HYPERLINK("https://www.qchicken.com.tw/","開啟來源")</f>
        <v>開啟來源</v>
      </c>
      <c r="J27" s="2" t="s">
        <v>118</v>
      </c>
    </row>
  </sheetData>
  <phoneticPr fontId="6" type="noConversion"/>
  <conditionalFormatting sqref="J2:J27">
    <cfRule type="containsText" dxfId="3" priority="1" operator="containsText" text="C"/>
    <cfRule type="containsText" dxfId="2" priority="2" operator="containsText" text="D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showGridLines="0" workbookViewId="0"/>
  </sheetViews>
  <sheetFormatPr defaultRowHeight="14"/>
  <cols>
    <col min="1" max="3" width="20" customWidth="1"/>
    <col min="6" max="7" width="28" customWidth="1"/>
    <col min="8" max="12" width="16" customWidth="1"/>
  </cols>
  <sheetData>
    <row r="1" spans="1:12" ht="34" customHeight="1">
      <c r="A1" s="1" t="s">
        <v>44</v>
      </c>
      <c r="B1" s="1" t="s">
        <v>21</v>
      </c>
      <c r="C1" s="1" t="s">
        <v>431</v>
      </c>
      <c r="D1" s="1" t="s">
        <v>432</v>
      </c>
      <c r="E1" s="1" t="s">
        <v>79</v>
      </c>
      <c r="F1" s="1" t="s">
        <v>433</v>
      </c>
      <c r="G1" s="1" t="s">
        <v>434</v>
      </c>
      <c r="H1" s="1" t="s">
        <v>435</v>
      </c>
      <c r="I1" s="1" t="s">
        <v>436</v>
      </c>
      <c r="J1" s="1" t="s">
        <v>437</v>
      </c>
      <c r="K1" s="1" t="s">
        <v>438</v>
      </c>
      <c r="L1" s="1" t="s">
        <v>42</v>
      </c>
    </row>
    <row r="2" spans="1:12" ht="42" customHeight="1">
      <c r="A2" s="2" t="s">
        <v>104</v>
      </c>
      <c r="B2" s="2" t="s">
        <v>25</v>
      </c>
      <c r="C2" s="2" t="s">
        <v>439</v>
      </c>
      <c r="D2" s="3">
        <f>商品完整資料!AL2</f>
        <v>0.44397163120567373</v>
      </c>
      <c r="E2" s="3">
        <f>商品完整資料!AM2</f>
        <v>0.1</v>
      </c>
      <c r="F2" s="2" t="s">
        <v>112</v>
      </c>
      <c r="G2" s="2" t="s">
        <v>114</v>
      </c>
      <c r="H2" s="2" t="s">
        <v>126</v>
      </c>
      <c r="I2" s="2" t="s">
        <v>126</v>
      </c>
      <c r="J2" s="2" t="s">
        <v>126</v>
      </c>
      <c r="K2" s="5">
        <v>46234.5</v>
      </c>
      <c r="L2" s="2" t="s">
        <v>102</v>
      </c>
    </row>
    <row r="3" spans="1:12" ht="42" customHeight="1">
      <c r="A3" s="2" t="s">
        <v>122</v>
      </c>
      <c r="B3" s="2" t="s">
        <v>25</v>
      </c>
      <c r="C3" s="2" t="s">
        <v>440</v>
      </c>
      <c r="D3" s="3">
        <f>商品完整資料!AL3</f>
        <v>9.9999999999999978E-2</v>
      </c>
      <c r="E3" s="3">
        <f>商品完整資料!AM3</f>
        <v>0</v>
      </c>
      <c r="F3" s="2" t="s">
        <v>128</v>
      </c>
      <c r="G3" s="2" t="s">
        <v>128</v>
      </c>
      <c r="H3" s="2" t="s">
        <v>126</v>
      </c>
      <c r="I3" s="2" t="s">
        <v>126</v>
      </c>
      <c r="J3" s="2" t="s">
        <v>126</v>
      </c>
      <c r="K3" s="5"/>
      <c r="L3" s="2" t="s">
        <v>120</v>
      </c>
    </row>
    <row r="4" spans="1:12" ht="42" customHeight="1">
      <c r="A4" s="2" t="s">
        <v>137</v>
      </c>
      <c r="B4" s="2" t="s">
        <v>25</v>
      </c>
      <c r="C4" s="2" t="s">
        <v>441</v>
      </c>
      <c r="D4" s="3">
        <f>商品完整資料!AL4</f>
        <v>0.25</v>
      </c>
      <c r="E4" s="3">
        <f>商品完整資料!AM4</f>
        <v>0</v>
      </c>
      <c r="F4" s="2" t="s">
        <v>128</v>
      </c>
      <c r="G4" s="2" t="s">
        <v>128</v>
      </c>
      <c r="H4" s="2" t="s">
        <v>109</v>
      </c>
      <c r="I4" s="2" t="s">
        <v>126</v>
      </c>
      <c r="J4" s="2" t="s">
        <v>126</v>
      </c>
      <c r="K4" s="5"/>
      <c r="L4" s="2" t="s">
        <v>135</v>
      </c>
    </row>
    <row r="5" spans="1:12" ht="42" customHeight="1">
      <c r="A5" s="2" t="s">
        <v>137</v>
      </c>
      <c r="B5" s="2" t="s">
        <v>25</v>
      </c>
      <c r="C5" s="2" t="s">
        <v>440</v>
      </c>
      <c r="D5" s="3">
        <f>商品完整資料!AL5</f>
        <v>0.3125</v>
      </c>
      <c r="E5" s="3">
        <f>商品完整資料!AM5</f>
        <v>0</v>
      </c>
      <c r="F5" s="2" t="s">
        <v>128</v>
      </c>
      <c r="G5" s="2" t="s">
        <v>128</v>
      </c>
      <c r="H5" s="2" t="s">
        <v>126</v>
      </c>
      <c r="I5" s="2" t="s">
        <v>126</v>
      </c>
      <c r="J5" s="2" t="s">
        <v>126</v>
      </c>
      <c r="K5" s="5"/>
      <c r="L5" s="2" t="s">
        <v>150</v>
      </c>
    </row>
    <row r="6" spans="1:12" ht="42" customHeight="1">
      <c r="A6" s="2" t="s">
        <v>156</v>
      </c>
      <c r="B6" s="2" t="s">
        <v>25</v>
      </c>
      <c r="C6" s="2" t="s">
        <v>440</v>
      </c>
      <c r="D6" s="3">
        <f>商品完整資料!AL6</f>
        <v>0.22222222222222221</v>
      </c>
      <c r="E6" s="3">
        <f>商品完整資料!AM6</f>
        <v>0</v>
      </c>
      <c r="F6" s="2" t="s">
        <v>128</v>
      </c>
      <c r="G6" s="2" t="s">
        <v>128</v>
      </c>
      <c r="H6" s="2" t="s">
        <v>126</v>
      </c>
      <c r="I6" s="2" t="s">
        <v>126</v>
      </c>
      <c r="J6" s="2" t="s">
        <v>126</v>
      </c>
      <c r="K6" s="5"/>
      <c r="L6" s="2" t="s">
        <v>154</v>
      </c>
    </row>
    <row r="7" spans="1:12" ht="42" customHeight="1">
      <c r="A7" s="2" t="s">
        <v>170</v>
      </c>
      <c r="B7" s="2" t="s">
        <v>25</v>
      </c>
      <c r="C7" s="2" t="s">
        <v>440</v>
      </c>
      <c r="D7" s="3">
        <f>商品完整資料!AL7</f>
        <v>7.2463768115942018E-2</v>
      </c>
      <c r="E7" s="3">
        <f>商品完整資料!AM7</f>
        <v>0</v>
      </c>
      <c r="F7" s="2" t="s">
        <v>128</v>
      </c>
      <c r="G7" s="2" t="s">
        <v>128</v>
      </c>
      <c r="H7" s="2" t="s">
        <v>109</v>
      </c>
      <c r="I7" s="2" t="s">
        <v>126</v>
      </c>
      <c r="J7" s="2" t="s">
        <v>126</v>
      </c>
      <c r="K7" s="5"/>
      <c r="L7" s="2" t="s">
        <v>168</v>
      </c>
    </row>
    <row r="8" spans="1:12" ht="42" customHeight="1">
      <c r="A8" s="2" t="s">
        <v>170</v>
      </c>
      <c r="B8" s="2" t="s">
        <v>25</v>
      </c>
      <c r="C8" s="2" t="s">
        <v>442</v>
      </c>
      <c r="D8" s="3">
        <f>商品完整資料!AL8</f>
        <v>4.3668122270742349E-2</v>
      </c>
      <c r="E8" s="3">
        <f>商品完整資料!AM8</f>
        <v>0</v>
      </c>
      <c r="F8" s="2" t="s">
        <v>180</v>
      </c>
      <c r="G8" s="2" t="s">
        <v>182</v>
      </c>
      <c r="H8" s="2" t="s">
        <v>109</v>
      </c>
      <c r="I8" s="2" t="s">
        <v>126</v>
      </c>
      <c r="J8" s="2" t="s">
        <v>126</v>
      </c>
      <c r="K8" s="5"/>
      <c r="L8" s="2" t="s">
        <v>177</v>
      </c>
    </row>
    <row r="9" spans="1:12" ht="42" customHeight="1">
      <c r="A9" s="2" t="s">
        <v>137</v>
      </c>
      <c r="B9" s="2" t="s">
        <v>28</v>
      </c>
      <c r="C9" s="2" t="s">
        <v>439</v>
      </c>
      <c r="D9" s="3">
        <f>商品完整資料!AL9</f>
        <v>0.3125</v>
      </c>
      <c r="E9" s="3">
        <f>商品完整資料!AM9</f>
        <v>0</v>
      </c>
      <c r="F9" s="2" t="s">
        <v>189</v>
      </c>
      <c r="G9" s="2" t="s">
        <v>191</v>
      </c>
      <c r="H9" s="2" t="s">
        <v>126</v>
      </c>
      <c r="I9" s="2" t="s">
        <v>126</v>
      </c>
      <c r="J9" s="2" t="s">
        <v>126</v>
      </c>
      <c r="K9" s="5"/>
      <c r="L9" s="2" t="s">
        <v>185</v>
      </c>
    </row>
    <row r="10" spans="1:12" ht="42" customHeight="1">
      <c r="A10" s="2" t="s">
        <v>197</v>
      </c>
      <c r="B10" s="2" t="s">
        <v>28</v>
      </c>
      <c r="C10" s="2" t="s">
        <v>440</v>
      </c>
      <c r="D10" s="3">
        <f>商品完整資料!AL10</f>
        <v>0.36881313131313131</v>
      </c>
      <c r="E10" s="3">
        <f>商品完整資料!AM10</f>
        <v>0</v>
      </c>
      <c r="F10" s="2" t="s">
        <v>128</v>
      </c>
      <c r="G10" s="2" t="s">
        <v>128</v>
      </c>
      <c r="H10" s="2" t="s">
        <v>126</v>
      </c>
      <c r="I10" s="2" t="s">
        <v>126</v>
      </c>
      <c r="J10" s="2" t="s">
        <v>126</v>
      </c>
      <c r="K10" s="5"/>
      <c r="L10" s="2" t="s">
        <v>195</v>
      </c>
    </row>
    <row r="11" spans="1:12" ht="42" customHeight="1">
      <c r="A11" s="2" t="s">
        <v>209</v>
      </c>
      <c r="B11" s="2" t="s">
        <v>28</v>
      </c>
      <c r="C11" s="2" t="s">
        <v>440</v>
      </c>
      <c r="D11" s="3">
        <f>商品完整資料!AL11</f>
        <v>0.15000000000000002</v>
      </c>
      <c r="E11" s="3">
        <f>商品完整資料!AM11</f>
        <v>0</v>
      </c>
      <c r="F11" s="2" t="s">
        <v>128</v>
      </c>
      <c r="G11" s="2" t="s">
        <v>128</v>
      </c>
      <c r="H11" s="2" t="s">
        <v>126</v>
      </c>
      <c r="I11" s="2" t="s">
        <v>126</v>
      </c>
      <c r="J11" s="2" t="s">
        <v>126</v>
      </c>
      <c r="K11" s="5"/>
      <c r="L11" s="2" t="s">
        <v>207</v>
      </c>
    </row>
    <row r="12" spans="1:12" ht="42" customHeight="1">
      <c r="A12" s="2" t="s">
        <v>218</v>
      </c>
      <c r="B12" s="2" t="s">
        <v>28</v>
      </c>
      <c r="C12" s="2" t="s">
        <v>440</v>
      </c>
      <c r="D12" s="3">
        <f>商品完整資料!AL12</f>
        <v>9.9999999999999978E-2</v>
      </c>
      <c r="E12" s="3">
        <f>商品完整資料!AM12</f>
        <v>0</v>
      </c>
      <c r="F12" s="2" t="s">
        <v>128</v>
      </c>
      <c r="G12" s="2" t="s">
        <v>128</v>
      </c>
      <c r="H12" s="2" t="s">
        <v>126</v>
      </c>
      <c r="I12" s="2" t="s">
        <v>126</v>
      </c>
      <c r="J12" s="2" t="s">
        <v>126</v>
      </c>
      <c r="K12" s="5"/>
      <c r="L12" s="2" t="s">
        <v>216</v>
      </c>
    </row>
    <row r="13" spans="1:12" ht="42" customHeight="1">
      <c r="A13" s="2" t="s">
        <v>218</v>
      </c>
      <c r="B13" s="2" t="s">
        <v>28</v>
      </c>
      <c r="C13" s="2" t="s">
        <v>440</v>
      </c>
      <c r="D13" s="3">
        <f>商品完整資料!AL13</f>
        <v>0.37680000000000002</v>
      </c>
      <c r="E13" s="3">
        <f>商品完整資料!AM13</f>
        <v>0</v>
      </c>
      <c r="F13" s="2" t="s">
        <v>128</v>
      </c>
      <c r="G13" s="2" t="s">
        <v>128</v>
      </c>
      <c r="H13" s="2" t="s">
        <v>126</v>
      </c>
      <c r="I13" s="2" t="s">
        <v>126</v>
      </c>
      <c r="J13" s="2" t="s">
        <v>126</v>
      </c>
      <c r="K13" s="5"/>
      <c r="L13" s="2" t="s">
        <v>223</v>
      </c>
    </row>
    <row r="14" spans="1:12" ht="42" customHeight="1">
      <c r="A14" s="2" t="s">
        <v>229</v>
      </c>
      <c r="B14" s="2" t="s">
        <v>28</v>
      </c>
      <c r="C14" s="2" t="s">
        <v>440</v>
      </c>
      <c r="D14" s="3">
        <f>商品完整資料!AL14</f>
        <v>6.7796610169491567E-2</v>
      </c>
      <c r="E14" s="3">
        <f>商品完整資料!AM14</f>
        <v>0</v>
      </c>
      <c r="F14" s="2" t="s">
        <v>128</v>
      </c>
      <c r="G14" s="2" t="s">
        <v>128</v>
      </c>
      <c r="H14" s="2" t="s">
        <v>126</v>
      </c>
      <c r="I14" s="2" t="s">
        <v>126</v>
      </c>
      <c r="J14" s="2" t="s">
        <v>126</v>
      </c>
      <c r="K14" s="5"/>
      <c r="L14" s="2" t="s">
        <v>227</v>
      </c>
    </row>
    <row r="15" spans="1:12" ht="42" customHeight="1">
      <c r="A15" s="2" t="s">
        <v>235</v>
      </c>
      <c r="B15" s="2" t="s">
        <v>28</v>
      </c>
      <c r="C15" s="2" t="s">
        <v>439</v>
      </c>
      <c r="D15" s="3">
        <f>商品完整資料!AL15</f>
        <v>0.41111111111111109</v>
      </c>
      <c r="E15" s="3">
        <f>商品完整資料!AM15</f>
        <v>0</v>
      </c>
      <c r="F15" s="2" t="s">
        <v>237</v>
      </c>
      <c r="G15" s="2" t="s">
        <v>239</v>
      </c>
      <c r="H15" s="2" t="s">
        <v>126</v>
      </c>
      <c r="I15" s="2" t="s">
        <v>126</v>
      </c>
      <c r="J15" s="2" t="s">
        <v>126</v>
      </c>
      <c r="K15" s="5"/>
      <c r="L15" s="2" t="s">
        <v>233</v>
      </c>
    </row>
    <row r="16" spans="1:12" ht="42" customHeight="1">
      <c r="A16" s="2" t="s">
        <v>104</v>
      </c>
      <c r="B16" s="2" t="s">
        <v>31</v>
      </c>
      <c r="C16" s="2" t="s">
        <v>443</v>
      </c>
      <c r="D16" s="3">
        <f>商品完整資料!AL16</f>
        <v>9.9826086956521731E-2</v>
      </c>
      <c r="E16" s="3">
        <f>商品完整資料!AM16</f>
        <v>0.1</v>
      </c>
      <c r="F16" s="2" t="s">
        <v>249</v>
      </c>
      <c r="G16" s="2" t="s">
        <v>251</v>
      </c>
      <c r="H16" s="2" t="s">
        <v>126</v>
      </c>
      <c r="I16" s="2" t="s">
        <v>109</v>
      </c>
      <c r="J16" s="2" t="s">
        <v>126</v>
      </c>
      <c r="K16" s="5">
        <v>46222.5</v>
      </c>
      <c r="L16" s="2" t="s">
        <v>244</v>
      </c>
    </row>
    <row r="17" spans="1:12" ht="42" customHeight="1">
      <c r="A17" s="2" t="s">
        <v>104</v>
      </c>
      <c r="B17" s="2" t="s">
        <v>31</v>
      </c>
      <c r="C17" s="2" t="s">
        <v>443</v>
      </c>
      <c r="D17" s="3">
        <f>商品完整資料!AL17</f>
        <v>0.41542553191489362</v>
      </c>
      <c r="E17" s="3">
        <f>商品完整資料!AM17</f>
        <v>0</v>
      </c>
      <c r="F17" s="2" t="s">
        <v>259</v>
      </c>
      <c r="G17" s="2" t="s">
        <v>261</v>
      </c>
      <c r="H17" s="2" t="s">
        <v>126</v>
      </c>
      <c r="I17" s="2" t="s">
        <v>109</v>
      </c>
      <c r="J17" s="2" t="s">
        <v>126</v>
      </c>
      <c r="K17" s="5">
        <v>46222.5</v>
      </c>
      <c r="L17" s="2" t="s">
        <v>255</v>
      </c>
    </row>
    <row r="18" spans="1:12" ht="42" customHeight="1">
      <c r="A18" s="2" t="s">
        <v>229</v>
      </c>
      <c r="B18" s="2" t="s">
        <v>31</v>
      </c>
      <c r="C18" s="2" t="s">
        <v>444</v>
      </c>
      <c r="D18" s="3">
        <f>商品完整資料!AL18</f>
        <v>7.0149253731343286E-2</v>
      </c>
      <c r="E18" s="3">
        <f>商品完整資料!AM18</f>
        <v>0</v>
      </c>
      <c r="F18" s="2" t="s">
        <v>128</v>
      </c>
      <c r="G18" s="2" t="s">
        <v>128</v>
      </c>
      <c r="H18" s="2" t="s">
        <v>126</v>
      </c>
      <c r="I18" s="2" t="s">
        <v>109</v>
      </c>
      <c r="J18" s="2" t="s">
        <v>126</v>
      </c>
      <c r="K18" s="5">
        <v>46222.5</v>
      </c>
      <c r="L18" s="2" t="s">
        <v>265</v>
      </c>
    </row>
    <row r="19" spans="1:12" ht="42" customHeight="1">
      <c r="A19" s="2" t="s">
        <v>275</v>
      </c>
      <c r="B19" s="2" t="s">
        <v>33</v>
      </c>
      <c r="C19" s="2" t="s">
        <v>439</v>
      </c>
      <c r="D19" s="3">
        <f>商品完整資料!AL19</f>
        <v>1</v>
      </c>
      <c r="E19" s="3">
        <f>商品完整資料!AM19</f>
        <v>0</v>
      </c>
      <c r="F19" s="2" t="s">
        <v>278</v>
      </c>
      <c r="G19" s="2" t="s">
        <v>279</v>
      </c>
      <c r="H19" s="2" t="s">
        <v>126</v>
      </c>
      <c r="I19" s="2" t="s">
        <v>126</v>
      </c>
      <c r="J19" s="2" t="s">
        <v>126</v>
      </c>
      <c r="K19" s="5"/>
      <c r="L19" s="2" t="s">
        <v>273</v>
      </c>
    </row>
    <row r="20" spans="1:12" ht="42" customHeight="1">
      <c r="A20" s="2" t="s">
        <v>137</v>
      </c>
      <c r="B20" s="2" t="s">
        <v>33</v>
      </c>
      <c r="C20" s="2" t="s">
        <v>439</v>
      </c>
      <c r="D20" s="3">
        <f>商品完整資料!AL20</f>
        <v>0.25</v>
      </c>
      <c r="E20" s="3">
        <f>商品完整資料!AM20</f>
        <v>0</v>
      </c>
      <c r="F20" s="2" t="s">
        <v>286</v>
      </c>
      <c r="G20" s="2" t="s">
        <v>287</v>
      </c>
      <c r="H20" s="2" t="s">
        <v>126</v>
      </c>
      <c r="I20" s="2" t="s">
        <v>126</v>
      </c>
      <c r="J20" s="2" t="s">
        <v>126</v>
      </c>
      <c r="K20" s="5"/>
      <c r="L20" s="2" t="s">
        <v>283</v>
      </c>
    </row>
    <row r="21" spans="1:12" ht="42" customHeight="1">
      <c r="A21" s="2" t="s">
        <v>137</v>
      </c>
      <c r="B21" s="2" t="s">
        <v>33</v>
      </c>
      <c r="C21" s="2" t="s">
        <v>445</v>
      </c>
      <c r="D21" s="3" t="str">
        <f>商品完整資料!AL21</f>
        <v/>
      </c>
      <c r="E21" s="3">
        <f>商品完整資料!AM21</f>
        <v>0</v>
      </c>
      <c r="F21" s="2" t="s">
        <v>128</v>
      </c>
      <c r="G21" s="2" t="s">
        <v>128</v>
      </c>
      <c r="H21" s="2" t="s">
        <v>126</v>
      </c>
      <c r="I21" s="2" t="s">
        <v>109</v>
      </c>
      <c r="J21" s="2" t="s">
        <v>126</v>
      </c>
      <c r="K21" s="5"/>
      <c r="L21" s="2" t="s">
        <v>290</v>
      </c>
    </row>
    <row r="22" spans="1:12" ht="42" customHeight="1">
      <c r="A22" s="2" t="s">
        <v>300</v>
      </c>
      <c r="B22" s="2" t="s">
        <v>33</v>
      </c>
      <c r="C22" s="2" t="s">
        <v>439</v>
      </c>
      <c r="D22" s="3">
        <f>商品完整資料!AL22</f>
        <v>0.16755319148936165</v>
      </c>
      <c r="E22" s="3">
        <f>商品完整資料!AM22</f>
        <v>0</v>
      </c>
      <c r="F22" s="2" t="s">
        <v>286</v>
      </c>
      <c r="G22" s="2" t="s">
        <v>305</v>
      </c>
      <c r="H22" s="2" t="s">
        <v>126</v>
      </c>
      <c r="I22" s="2" t="s">
        <v>126</v>
      </c>
      <c r="J22" s="2" t="s">
        <v>126</v>
      </c>
      <c r="K22" s="5"/>
      <c r="L22" s="2" t="s">
        <v>298</v>
      </c>
    </row>
    <row r="23" spans="1:12" ht="42" customHeight="1">
      <c r="A23" s="2" t="s">
        <v>310</v>
      </c>
      <c r="B23" s="2" t="s">
        <v>36</v>
      </c>
      <c r="C23" s="2" t="s">
        <v>446</v>
      </c>
      <c r="D23" s="3" t="str">
        <f>商品完整資料!AL23</f>
        <v/>
      </c>
      <c r="E23" s="3">
        <f>商品完整資料!AM23</f>
        <v>0</v>
      </c>
      <c r="F23" s="2" t="s">
        <v>128</v>
      </c>
      <c r="G23" s="2" t="s">
        <v>128</v>
      </c>
      <c r="H23" s="2" t="s">
        <v>126</v>
      </c>
      <c r="I23" s="2" t="s">
        <v>126</v>
      </c>
      <c r="J23" s="2" t="s">
        <v>126</v>
      </c>
      <c r="K23" s="5"/>
      <c r="L23" s="2" t="s">
        <v>308</v>
      </c>
    </row>
    <row r="24" spans="1:12" ht="42" customHeight="1">
      <c r="A24" s="2" t="s">
        <v>137</v>
      </c>
      <c r="B24" s="2" t="s">
        <v>36</v>
      </c>
      <c r="C24" s="2" t="s">
        <v>446</v>
      </c>
      <c r="D24" s="3" t="str">
        <f>商品完整資料!AL24</f>
        <v/>
      </c>
      <c r="E24" s="3">
        <f>商品完整資料!AM24</f>
        <v>0</v>
      </c>
      <c r="F24" s="2" t="s">
        <v>128</v>
      </c>
      <c r="G24" s="2" t="s">
        <v>128</v>
      </c>
      <c r="H24" s="2" t="s">
        <v>126</v>
      </c>
      <c r="I24" s="2" t="s">
        <v>126</v>
      </c>
      <c r="J24" s="2" t="s">
        <v>126</v>
      </c>
      <c r="K24" s="5"/>
      <c r="L24" s="2" t="s">
        <v>319</v>
      </c>
    </row>
    <row r="25" spans="1:12" ht="42" customHeight="1">
      <c r="A25" s="2" t="s">
        <v>137</v>
      </c>
      <c r="B25" s="2" t="s">
        <v>36</v>
      </c>
      <c r="C25" s="2" t="s">
        <v>446</v>
      </c>
      <c r="D25" s="3" t="str">
        <f>商品完整資料!AL25</f>
        <v/>
      </c>
      <c r="E25" s="3">
        <f>商品完整資料!AM25</f>
        <v>0</v>
      </c>
      <c r="F25" s="2" t="s">
        <v>128</v>
      </c>
      <c r="G25" s="2" t="s">
        <v>128</v>
      </c>
      <c r="H25" s="2" t="s">
        <v>126</v>
      </c>
      <c r="I25" s="2" t="s">
        <v>126</v>
      </c>
      <c r="J25" s="2" t="s">
        <v>126</v>
      </c>
      <c r="K25" s="5"/>
      <c r="L25" s="2" t="s">
        <v>326</v>
      </c>
    </row>
    <row r="26" spans="1:12" ht="42" customHeight="1">
      <c r="A26" s="2" t="s">
        <v>275</v>
      </c>
      <c r="B26" s="2" t="s">
        <v>36</v>
      </c>
      <c r="C26" s="2" t="s">
        <v>446</v>
      </c>
      <c r="D26" s="3" t="str">
        <f>商品完整資料!AL26</f>
        <v/>
      </c>
      <c r="E26" s="3">
        <f>商品完整資料!AM26</f>
        <v>0</v>
      </c>
      <c r="F26" s="2" t="s">
        <v>128</v>
      </c>
      <c r="G26" s="2" t="s">
        <v>128</v>
      </c>
      <c r="H26" s="2" t="s">
        <v>126</v>
      </c>
      <c r="I26" s="2" t="s">
        <v>126</v>
      </c>
      <c r="J26" s="2" t="s">
        <v>126</v>
      </c>
      <c r="K26" s="5"/>
      <c r="L26" s="2" t="s">
        <v>330</v>
      </c>
    </row>
    <row r="27" spans="1:12" ht="42" customHeight="1">
      <c r="A27" s="2" t="s">
        <v>300</v>
      </c>
      <c r="B27" s="2" t="s">
        <v>36</v>
      </c>
      <c r="C27" s="2" t="s">
        <v>422</v>
      </c>
      <c r="D27" s="3" t="str">
        <f>商品完整資料!AL27</f>
        <v/>
      </c>
      <c r="E27" s="3">
        <f>商品完整資料!AM27</f>
        <v>6.6666666666666666E-2</v>
      </c>
      <c r="F27" s="2" t="s">
        <v>342</v>
      </c>
      <c r="G27" s="2" t="s">
        <v>344</v>
      </c>
      <c r="H27" s="2" t="s">
        <v>126</v>
      </c>
      <c r="I27" s="2" t="s">
        <v>126</v>
      </c>
      <c r="J27" s="2" t="s">
        <v>126</v>
      </c>
      <c r="K27" s="5"/>
      <c r="L27" s="2" t="s">
        <v>338</v>
      </c>
    </row>
    <row r="28" spans="1:12" ht="42" customHeight="1">
      <c r="A28" s="2" t="s">
        <v>209</v>
      </c>
      <c r="B28" s="2" t="s">
        <v>354</v>
      </c>
      <c r="C28" s="2" t="s">
        <v>439</v>
      </c>
      <c r="D28" s="3">
        <f>商品完整資料!AL28</f>
        <v>1</v>
      </c>
      <c r="E28" s="3">
        <f>商品完整資料!AM28</f>
        <v>0.04</v>
      </c>
      <c r="F28" s="2" t="s">
        <v>355</v>
      </c>
      <c r="G28" s="2" t="s">
        <v>114</v>
      </c>
      <c r="H28" s="2" t="s">
        <v>126</v>
      </c>
      <c r="I28" s="2" t="s">
        <v>126</v>
      </c>
      <c r="J28" s="2" t="s">
        <v>126</v>
      </c>
      <c r="K28" s="5"/>
      <c r="L28" s="2" t="s">
        <v>349</v>
      </c>
    </row>
    <row r="29" spans="1:12" ht="42" customHeight="1">
      <c r="A29" s="2" t="s">
        <v>209</v>
      </c>
      <c r="B29" s="2" t="s">
        <v>354</v>
      </c>
      <c r="C29" s="2" t="s">
        <v>440</v>
      </c>
      <c r="D29" s="3">
        <f>商品完整資料!AL29</f>
        <v>1</v>
      </c>
      <c r="E29" s="3">
        <f>商品完整資料!AM29</f>
        <v>0</v>
      </c>
      <c r="F29" s="2" t="s">
        <v>128</v>
      </c>
      <c r="G29" s="2" t="s">
        <v>128</v>
      </c>
      <c r="H29" s="2" t="s">
        <v>126</v>
      </c>
      <c r="I29" s="2" t="s">
        <v>126</v>
      </c>
      <c r="J29" s="2" t="s">
        <v>126</v>
      </c>
      <c r="K29" s="5"/>
      <c r="L29" s="2" t="s">
        <v>359</v>
      </c>
    </row>
    <row r="30" spans="1:12" ht="42" customHeight="1">
      <c r="A30" s="2" t="s">
        <v>197</v>
      </c>
      <c r="B30" s="2" t="s">
        <v>354</v>
      </c>
      <c r="C30" s="2" t="s">
        <v>440</v>
      </c>
      <c r="D30" s="3">
        <f>商品完整資料!AL30</f>
        <v>1</v>
      </c>
      <c r="E30" s="3">
        <f>商品完整資料!AM30</f>
        <v>0</v>
      </c>
      <c r="F30" s="2" t="s">
        <v>128</v>
      </c>
      <c r="G30" s="2" t="s">
        <v>128</v>
      </c>
      <c r="H30" s="2" t="s">
        <v>126</v>
      </c>
      <c r="I30" s="2" t="s">
        <v>126</v>
      </c>
      <c r="J30" s="2" t="s">
        <v>126</v>
      </c>
      <c r="K30" s="5"/>
      <c r="L30" s="2" t="s">
        <v>366</v>
      </c>
    </row>
    <row r="31" spans="1:12" ht="42" customHeight="1">
      <c r="A31" s="2" t="s">
        <v>218</v>
      </c>
      <c r="B31" s="2" t="s">
        <v>374</v>
      </c>
      <c r="C31" s="2" t="s">
        <v>440</v>
      </c>
      <c r="D31" s="3">
        <f>商品完整資料!AL31</f>
        <v>1</v>
      </c>
      <c r="E31" s="3">
        <f>商品完整資料!AM31</f>
        <v>0</v>
      </c>
      <c r="F31" s="2" t="s">
        <v>128</v>
      </c>
      <c r="G31" s="2" t="s">
        <v>128</v>
      </c>
      <c r="H31" s="2" t="s">
        <v>126</v>
      </c>
      <c r="I31" s="2" t="s">
        <v>126</v>
      </c>
      <c r="J31" s="2" t="s">
        <v>126</v>
      </c>
      <c r="K31" s="5">
        <v>46215.5</v>
      </c>
      <c r="L31" s="2" t="s">
        <v>372</v>
      </c>
    </row>
    <row r="32" spans="1:12" ht="42" customHeight="1">
      <c r="A32" s="2" t="s">
        <v>218</v>
      </c>
      <c r="B32" s="2" t="s">
        <v>374</v>
      </c>
      <c r="C32" s="2" t="s">
        <v>440</v>
      </c>
      <c r="D32" s="3">
        <f>商品完整資料!AL32</f>
        <v>1</v>
      </c>
      <c r="E32" s="3">
        <f>商品完整資料!AM32</f>
        <v>0</v>
      </c>
      <c r="F32" s="2" t="s">
        <v>128</v>
      </c>
      <c r="G32" s="2" t="s">
        <v>128</v>
      </c>
      <c r="H32" s="2" t="s">
        <v>126</v>
      </c>
      <c r="I32" s="2" t="s">
        <v>126</v>
      </c>
      <c r="J32" s="2" t="s">
        <v>126</v>
      </c>
      <c r="K32" s="5">
        <v>46215.5</v>
      </c>
      <c r="L32" s="2" t="s">
        <v>378</v>
      </c>
    </row>
    <row r="33" spans="1:12" ht="42" customHeight="1">
      <c r="A33" s="2" t="s">
        <v>229</v>
      </c>
      <c r="B33" s="2" t="s">
        <v>39</v>
      </c>
      <c r="C33" s="2" t="s">
        <v>440</v>
      </c>
      <c r="D33" s="3">
        <f>商品完整資料!AL33</f>
        <v>8.4745762711864403E-2</v>
      </c>
      <c r="E33" s="3">
        <f>商品完整資料!AM33</f>
        <v>0</v>
      </c>
      <c r="F33" s="2" t="s">
        <v>128</v>
      </c>
      <c r="G33" s="2" t="s">
        <v>128</v>
      </c>
      <c r="H33" s="2" t="s">
        <v>126</v>
      </c>
      <c r="I33" s="2" t="s">
        <v>126</v>
      </c>
      <c r="J33" s="2" t="s">
        <v>126</v>
      </c>
      <c r="K33" s="5">
        <v>46234.5</v>
      </c>
      <c r="L33" s="2" t="s">
        <v>382</v>
      </c>
    </row>
    <row r="34" spans="1:12" ht="42" customHeight="1">
      <c r="A34" s="2" t="s">
        <v>229</v>
      </c>
      <c r="B34" s="2" t="s">
        <v>39</v>
      </c>
      <c r="C34" s="2" t="s">
        <v>440</v>
      </c>
      <c r="D34" s="3">
        <f>商品完整資料!AL34</f>
        <v>6.7796610169491567E-2</v>
      </c>
      <c r="E34" s="3">
        <f>商品完整資料!AM34</f>
        <v>0</v>
      </c>
      <c r="F34" s="2" t="s">
        <v>128</v>
      </c>
      <c r="G34" s="2" t="s">
        <v>128</v>
      </c>
      <c r="H34" s="2" t="s">
        <v>126</v>
      </c>
      <c r="I34" s="2" t="s">
        <v>126</v>
      </c>
      <c r="J34" s="2" t="s">
        <v>126</v>
      </c>
      <c r="K34" s="5">
        <v>46234.5</v>
      </c>
      <c r="L34" s="2" t="s">
        <v>390</v>
      </c>
    </row>
    <row r="35" spans="1:12" ht="42" customHeight="1">
      <c r="A35" s="2" t="s">
        <v>229</v>
      </c>
      <c r="B35" s="2" t="s">
        <v>39</v>
      </c>
      <c r="C35" s="2" t="s">
        <v>440</v>
      </c>
      <c r="D35" s="3">
        <f>商品完整資料!AL35</f>
        <v>6.3492063492063489E-2</v>
      </c>
      <c r="E35" s="3">
        <f>商品完整資料!AM35</f>
        <v>0</v>
      </c>
      <c r="F35" s="2" t="s">
        <v>128</v>
      </c>
      <c r="G35" s="2" t="s">
        <v>128</v>
      </c>
      <c r="H35" s="2" t="s">
        <v>126</v>
      </c>
      <c r="I35" s="2" t="s">
        <v>126</v>
      </c>
      <c r="J35" s="2" t="s">
        <v>126</v>
      </c>
      <c r="K35" s="5">
        <v>46234.5</v>
      </c>
      <c r="L35" s="2" t="s">
        <v>398</v>
      </c>
    </row>
  </sheetData>
  <phoneticPr fontId="6" type="noConversion"/>
  <conditionalFormatting sqref="K2:K35">
    <cfRule type="expression" dxfId="1" priority="1">
      <formula>AND($K2&lt;&gt;"",$K2&gt;=DATE(2026,7,14),$K2&lt;=DATE(2026,7,21))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workbookViewId="0"/>
  </sheetViews>
  <sheetFormatPr defaultRowHeight="14"/>
  <cols>
    <col min="1" max="1" width="18" customWidth="1"/>
    <col min="2" max="2" width="40" customWidth="1"/>
    <col min="3" max="4" width="22" customWidth="1"/>
    <col min="5" max="6" width="18" customWidth="1"/>
    <col min="7" max="10" width="24" customWidth="1"/>
  </cols>
  <sheetData>
    <row r="1" spans="1:10" ht="34" customHeight="1">
      <c r="A1" s="1" t="s">
        <v>447</v>
      </c>
      <c r="B1" s="1" t="s">
        <v>448</v>
      </c>
      <c r="C1" s="1" t="s">
        <v>21</v>
      </c>
      <c r="D1" s="1" t="s">
        <v>449</v>
      </c>
      <c r="E1" s="1" t="s">
        <v>450</v>
      </c>
      <c r="F1" s="1" t="s">
        <v>451</v>
      </c>
      <c r="G1" s="1" t="s">
        <v>452</v>
      </c>
      <c r="H1" s="1" t="s">
        <v>453</v>
      </c>
      <c r="I1" s="1" t="s">
        <v>454</v>
      </c>
      <c r="J1" s="1" t="s">
        <v>24</v>
      </c>
    </row>
    <row r="2" spans="1:10" ht="42" customHeight="1">
      <c r="A2" s="6">
        <v>46217.770833333336</v>
      </c>
      <c r="B2" s="2" t="s">
        <v>455</v>
      </c>
      <c r="C2" s="2" t="s">
        <v>25</v>
      </c>
      <c r="D2" s="2" t="s">
        <v>456</v>
      </c>
      <c r="E2" s="2" t="str">
        <f>HYPERLINK("https://www.momoshop.com.tw/category/LgrpCategory.jsp?l_code=4400200000","開啟頁面")</f>
        <v>開啟頁面</v>
      </c>
      <c r="F2" s="2" t="s">
        <v>457</v>
      </c>
      <c r="G2" s="2" t="s">
        <v>109</v>
      </c>
      <c r="H2" s="2"/>
      <c r="I2" s="2" t="s">
        <v>458</v>
      </c>
      <c r="J2" s="2" t="s">
        <v>459</v>
      </c>
    </row>
    <row r="3" spans="1:10" ht="42" customHeight="1">
      <c r="A3" s="6">
        <v>46217.770833333336</v>
      </c>
      <c r="B3" s="2" t="s">
        <v>460</v>
      </c>
      <c r="C3" s="2" t="s">
        <v>25</v>
      </c>
      <c r="D3" s="2" t="s">
        <v>461</v>
      </c>
      <c r="E3" s="2" t="str">
        <f>HYPERLINK("https://www.momoshop.com.tw/product/5327922","開啟頁面")</f>
        <v>開啟頁面</v>
      </c>
      <c r="F3" s="2" t="s">
        <v>462</v>
      </c>
      <c r="G3" s="2" t="s">
        <v>109</v>
      </c>
      <c r="H3" s="2"/>
      <c r="I3" s="2" t="s">
        <v>463</v>
      </c>
      <c r="J3" s="2" t="s">
        <v>464</v>
      </c>
    </row>
    <row r="4" spans="1:10" ht="42" customHeight="1">
      <c r="A4" s="6">
        <v>46217.770833333336</v>
      </c>
      <c r="B4" s="2" t="s">
        <v>465</v>
      </c>
      <c r="C4" s="2" t="s">
        <v>25</v>
      </c>
      <c r="D4" s="2" t="s">
        <v>466</v>
      </c>
      <c r="E4" s="2" t="str">
        <f>HYPERLINK("https://www.momoshop.com.tw/product/7384744","開啟頁面")</f>
        <v>開啟頁面</v>
      </c>
      <c r="F4" s="2" t="s">
        <v>462</v>
      </c>
      <c r="G4" s="2" t="s">
        <v>109</v>
      </c>
      <c r="H4" s="2"/>
      <c r="I4" s="2" t="s">
        <v>463</v>
      </c>
      <c r="J4" s="2" t="s">
        <v>467</v>
      </c>
    </row>
    <row r="5" spans="1:10" ht="42" customHeight="1">
      <c r="A5" s="6">
        <v>46217.770833333336</v>
      </c>
      <c r="B5" s="2" t="s">
        <v>468</v>
      </c>
      <c r="C5" s="2" t="s">
        <v>28</v>
      </c>
      <c r="D5" s="2" t="s">
        <v>469</v>
      </c>
      <c r="E5" s="2" t="str">
        <f>HYPERLINK("https://24h.pchome.com.tw/prod/DBBB86-1900BA8VM","開啟頁面")</f>
        <v>開啟頁面</v>
      </c>
      <c r="F5" s="2" t="s">
        <v>462</v>
      </c>
      <c r="G5" s="2" t="s">
        <v>109</v>
      </c>
      <c r="H5" s="2"/>
      <c r="I5" s="2" t="s">
        <v>463</v>
      </c>
      <c r="J5" s="2" t="s">
        <v>470</v>
      </c>
    </row>
    <row r="6" spans="1:10" ht="42" customHeight="1">
      <c r="A6" s="6">
        <v>46217.770833333336</v>
      </c>
      <c r="B6" s="2" t="s">
        <v>471</v>
      </c>
      <c r="C6" s="2" t="s">
        <v>28</v>
      </c>
      <c r="D6" s="2" t="s">
        <v>472</v>
      </c>
      <c r="E6" s="2" t="str">
        <f>HYPERLINK("https://24h.pchome.com.tw/prod/DBCQ00-A900FCDWH","開啟頁面")</f>
        <v>開啟頁面</v>
      </c>
      <c r="F6" s="2" t="s">
        <v>462</v>
      </c>
      <c r="G6" s="2" t="s">
        <v>109</v>
      </c>
      <c r="H6" s="2"/>
      <c r="I6" s="2" t="s">
        <v>463</v>
      </c>
      <c r="J6" s="2" t="s">
        <v>473</v>
      </c>
    </row>
    <row r="7" spans="1:10" ht="42" customHeight="1">
      <c r="A7" s="6">
        <v>46217.770833333336</v>
      </c>
      <c r="B7" s="2" t="s">
        <v>474</v>
      </c>
      <c r="C7" s="2" t="s">
        <v>31</v>
      </c>
      <c r="D7" s="2" t="s">
        <v>475</v>
      </c>
      <c r="E7" s="2" t="str">
        <f>HYPERLINK("https://tw.buy.yahoo.com/brands/41171443?cid=41023760","開啟頁面")</f>
        <v>開啟頁面</v>
      </c>
      <c r="F7" s="2" t="s">
        <v>476</v>
      </c>
      <c r="G7" s="2" t="s">
        <v>109</v>
      </c>
      <c r="H7" s="2"/>
      <c r="I7" s="2" t="s">
        <v>458</v>
      </c>
      <c r="J7" s="2" t="s">
        <v>477</v>
      </c>
    </row>
    <row r="8" spans="1:10" ht="42" customHeight="1">
      <c r="A8" s="6">
        <v>46217.770833333336</v>
      </c>
      <c r="B8" s="2" t="s">
        <v>478</v>
      </c>
      <c r="C8" s="2" t="s">
        <v>31</v>
      </c>
      <c r="D8" s="2" t="s">
        <v>479</v>
      </c>
      <c r="E8" s="2" t="str">
        <f>HYPERLINK("https://tw.buy.yahoo.com/gdsale/田原香-四神滴雞精20入-60ml-8258754.html","開啟頁面")</f>
        <v>開啟頁面</v>
      </c>
      <c r="F8" s="2" t="s">
        <v>462</v>
      </c>
      <c r="G8" s="2" t="s">
        <v>109</v>
      </c>
      <c r="H8" s="2"/>
      <c r="I8" s="2" t="s">
        <v>463</v>
      </c>
      <c r="J8" s="2" t="s">
        <v>480</v>
      </c>
    </row>
    <row r="9" spans="1:10" ht="42" customHeight="1">
      <c r="A9" s="6">
        <v>46217.770833333336</v>
      </c>
      <c r="B9" s="2" t="s">
        <v>481</v>
      </c>
      <c r="C9" s="2" t="s">
        <v>33</v>
      </c>
      <c r="D9" s="2" t="s">
        <v>482</v>
      </c>
      <c r="E9" s="2" t="str">
        <f>HYPERLINK("https://shopee.tw/【老協珍】熬雞精14入(常溫-健字號-術後保養-補充體力)官方直營-i.340883229.4164754697","開啟頁面")</f>
        <v>開啟頁面</v>
      </c>
      <c r="F9" s="2" t="s">
        <v>462</v>
      </c>
      <c r="G9" s="2" t="s">
        <v>109</v>
      </c>
      <c r="H9" s="2"/>
      <c r="I9" s="2" t="s">
        <v>483</v>
      </c>
      <c r="J9" s="2" t="s">
        <v>484</v>
      </c>
    </row>
    <row r="10" spans="1:10" ht="42" customHeight="1">
      <c r="A10" s="6">
        <v>46217.770833333336</v>
      </c>
      <c r="B10" s="2" t="s">
        <v>485</v>
      </c>
      <c r="C10" s="2" t="s">
        <v>33</v>
      </c>
      <c r="D10" s="2" t="s">
        <v>486</v>
      </c>
      <c r="E10" s="2" t="str">
        <f>HYPERLINK("https://shopee.tw/【大成食品】慢熬常溫雞精(50ml-7包-盒)-雙盒組加送美心皇家保鮮盒-i.302162413.24116087687","開啟頁面")</f>
        <v>開啟頁面</v>
      </c>
      <c r="F10" s="2" t="s">
        <v>462</v>
      </c>
      <c r="G10" s="2" t="s">
        <v>109</v>
      </c>
      <c r="H10" s="2"/>
      <c r="I10" s="2" t="s">
        <v>487</v>
      </c>
      <c r="J10" s="2" t="s">
        <v>488</v>
      </c>
    </row>
    <row r="11" spans="1:10" ht="42" customHeight="1">
      <c r="A11" s="6">
        <v>46217.770833333336</v>
      </c>
      <c r="B11" s="2" t="s">
        <v>489</v>
      </c>
      <c r="C11" s="2" t="s">
        <v>354</v>
      </c>
      <c r="D11" s="2" t="s">
        <v>490</v>
      </c>
      <c r="E11" s="2" t="str">
        <f>HYPERLINK("https://www.etmall.com.tw/i/7496138","開啟頁面")</f>
        <v>開啟頁面</v>
      </c>
      <c r="F11" s="2" t="s">
        <v>462</v>
      </c>
      <c r="G11" s="2" t="s">
        <v>109</v>
      </c>
      <c r="H11" s="2"/>
      <c r="I11" s="2" t="s">
        <v>483</v>
      </c>
      <c r="J11" s="2" t="s">
        <v>491</v>
      </c>
    </row>
    <row r="12" spans="1:10" ht="42" customHeight="1">
      <c r="A12" s="6">
        <v>46217.770833333336</v>
      </c>
      <c r="B12" s="2" t="s">
        <v>492</v>
      </c>
      <c r="C12" s="2" t="s">
        <v>374</v>
      </c>
      <c r="D12" s="2" t="s">
        <v>373</v>
      </c>
      <c r="E12" s="2" t="str">
        <f>HYPERLINK("https://www.books.com.tw/products/N012944996","開啟頁面")</f>
        <v>開啟頁面</v>
      </c>
      <c r="F12" s="2" t="s">
        <v>462</v>
      </c>
      <c r="G12" s="2" t="s">
        <v>109</v>
      </c>
      <c r="H12" s="2"/>
      <c r="I12" s="2" t="s">
        <v>493</v>
      </c>
      <c r="J12" s="2" t="s">
        <v>494</v>
      </c>
    </row>
    <row r="13" spans="1:10" ht="42" customHeight="1">
      <c r="A13" s="6">
        <v>46217.770833333336</v>
      </c>
      <c r="B13" s="2" t="s">
        <v>495</v>
      </c>
      <c r="C13" s="2" t="s">
        <v>36</v>
      </c>
      <c r="D13" s="2" t="s">
        <v>496</v>
      </c>
      <c r="E13" s="2" t="str">
        <f>HYPERLINK("https://www.costco.com.tw/Health-Beauty/Elderly-Care/Supplements/c/160102","開啟頁面")</f>
        <v>開啟頁面</v>
      </c>
      <c r="F13" s="2" t="s">
        <v>457</v>
      </c>
      <c r="G13" s="2" t="s">
        <v>109</v>
      </c>
      <c r="H13" s="2"/>
      <c r="I13" s="2" t="s">
        <v>463</v>
      </c>
      <c r="J13" s="2" t="s">
        <v>497</v>
      </c>
    </row>
    <row r="14" spans="1:10" ht="42" customHeight="1">
      <c r="A14" s="6">
        <v>46217.770833333336</v>
      </c>
      <c r="B14" s="2" t="s">
        <v>498</v>
      </c>
      <c r="C14" s="2" t="s">
        <v>36</v>
      </c>
      <c r="D14" s="2" t="s">
        <v>499</v>
      </c>
      <c r="E14" s="2" t="str">
        <f>HYPERLINK("https://www.costco.com.tw/c/Shih-An-Farm-Chicken-Essence-65-ml-X-16-Pack/p/130795","開啟頁面")</f>
        <v>開啟頁面</v>
      </c>
      <c r="F14" s="2" t="s">
        <v>462</v>
      </c>
      <c r="G14" s="2" t="s">
        <v>109</v>
      </c>
      <c r="H14" s="2"/>
      <c r="I14" s="2" t="s">
        <v>463</v>
      </c>
      <c r="J14" s="2" t="s">
        <v>500</v>
      </c>
    </row>
    <row r="15" spans="1:10" ht="42" customHeight="1">
      <c r="A15" s="6">
        <v>46217.770833333336</v>
      </c>
      <c r="B15" s="2" t="s">
        <v>501</v>
      </c>
      <c r="C15" s="2" t="s">
        <v>36</v>
      </c>
      <c r="D15" s="2" t="s">
        <v>502</v>
      </c>
      <c r="E15" s="2" t="str">
        <f>HYPERLINK("https://www.costco.com.tw/Health-Beauty/Elderly-Care/Supplements/Dachan-Frozen-Pure-Chicken-Essence-100-ml-X-30-Count/p/127511","開啟頁面")</f>
        <v>開啟頁面</v>
      </c>
      <c r="F15" s="2" t="s">
        <v>462</v>
      </c>
      <c r="G15" s="2" t="s">
        <v>109</v>
      </c>
      <c r="H15" s="2"/>
      <c r="I15" s="2" t="s">
        <v>463</v>
      </c>
      <c r="J15" s="2" t="s">
        <v>503</v>
      </c>
    </row>
    <row r="16" spans="1:10" ht="42" customHeight="1">
      <c r="A16" s="6">
        <v>46217.770833333336</v>
      </c>
      <c r="B16" s="2" t="s">
        <v>504</v>
      </c>
      <c r="C16" s="2" t="s">
        <v>39</v>
      </c>
      <c r="D16" s="2" t="s">
        <v>505</v>
      </c>
      <c r="E16" s="2" t="str">
        <f>HYPERLINK("https://www.qchicken.com.tw/","開啟頁面")</f>
        <v>開啟頁面</v>
      </c>
      <c r="F16" s="2" t="s">
        <v>506</v>
      </c>
      <c r="G16" s="2" t="s">
        <v>109</v>
      </c>
      <c r="H16" s="2"/>
      <c r="I16" s="2" t="s">
        <v>463</v>
      </c>
      <c r="J16" s="2" t="s">
        <v>507</v>
      </c>
    </row>
    <row r="17" spans="1:10" ht="42" customHeight="1">
      <c r="A17" s="6">
        <v>46217.770833333336</v>
      </c>
      <c r="B17" s="2" t="s">
        <v>508</v>
      </c>
      <c r="C17" s="2" t="s">
        <v>39</v>
      </c>
      <c r="D17" s="2" t="s">
        <v>509</v>
      </c>
      <c r="E17" s="2" t="str">
        <f>HYPERLINK("https://www.mo-qchicken.com/News/List?q=0","開啟頁面")</f>
        <v>開啟頁面</v>
      </c>
      <c r="F17" s="2" t="s">
        <v>510</v>
      </c>
      <c r="G17" s="2" t="s">
        <v>109</v>
      </c>
      <c r="H17" s="2"/>
      <c r="I17" s="2" t="s">
        <v>458</v>
      </c>
      <c r="J17" s="2" t="s">
        <v>511</v>
      </c>
    </row>
    <row r="18" spans="1:10" ht="42" customHeight="1">
      <c r="A18" s="6">
        <v>46217.770833333336</v>
      </c>
      <c r="B18" s="2" t="s">
        <v>512</v>
      </c>
      <c r="C18" s="2" t="s">
        <v>513</v>
      </c>
      <c r="D18" s="2" t="s">
        <v>514</v>
      </c>
      <c r="E18" s="2"/>
      <c r="F18" s="2" t="s">
        <v>515</v>
      </c>
      <c r="G18" s="2" t="s">
        <v>126</v>
      </c>
      <c r="H18" s="2" t="s">
        <v>516</v>
      </c>
      <c r="I18" s="2" t="s">
        <v>517</v>
      </c>
      <c r="J18" s="2" t="s">
        <v>518</v>
      </c>
    </row>
    <row r="19" spans="1:10" ht="42" customHeight="1">
      <c r="A19" s="6">
        <v>46217.770833333336</v>
      </c>
      <c r="B19" s="2" t="s">
        <v>519</v>
      </c>
      <c r="C19" s="2" t="s">
        <v>513</v>
      </c>
      <c r="D19" s="2" t="s">
        <v>520</v>
      </c>
      <c r="E19" s="2"/>
      <c r="F19" s="2" t="s">
        <v>515</v>
      </c>
      <c r="G19" s="2" t="s">
        <v>126</v>
      </c>
      <c r="H19" s="2" t="s">
        <v>521</v>
      </c>
      <c r="I19" s="2" t="s">
        <v>517</v>
      </c>
      <c r="J19" s="2" t="s">
        <v>522</v>
      </c>
    </row>
  </sheetData>
  <phoneticPr fontId="6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showGridLines="0" workbookViewId="0"/>
  </sheetViews>
  <sheetFormatPr defaultRowHeight="14"/>
  <cols>
    <col min="1" max="2" width="24" customWidth="1"/>
    <col min="3" max="4" width="22" customWidth="1"/>
    <col min="5" max="7" width="36" customWidth="1"/>
  </cols>
  <sheetData>
    <row r="1" spans="1:7" ht="34" customHeight="1">
      <c r="A1" s="1" t="s">
        <v>523</v>
      </c>
      <c r="B1" s="1" t="s">
        <v>21</v>
      </c>
      <c r="C1" s="1" t="s">
        <v>524</v>
      </c>
      <c r="D1" s="1" t="s">
        <v>525</v>
      </c>
      <c r="E1" s="1" t="s">
        <v>526</v>
      </c>
      <c r="F1" s="1" t="s">
        <v>527</v>
      </c>
      <c r="G1" s="1" t="s">
        <v>528</v>
      </c>
    </row>
    <row r="2" spans="1:7" ht="42" customHeight="1">
      <c r="A2" s="2" t="s">
        <v>529</v>
      </c>
      <c r="B2" s="2" t="s">
        <v>33</v>
      </c>
      <c r="C2" s="2" t="s">
        <v>530</v>
      </c>
      <c r="D2" s="2" t="s">
        <v>531</v>
      </c>
      <c r="E2" s="2" t="s">
        <v>532</v>
      </c>
      <c r="F2" s="2" t="s">
        <v>126</v>
      </c>
      <c r="G2" s="2" t="s">
        <v>533</v>
      </c>
    </row>
    <row r="3" spans="1:7" ht="42" customHeight="1">
      <c r="A3" s="2" t="s">
        <v>534</v>
      </c>
      <c r="B3" s="2" t="s">
        <v>33</v>
      </c>
      <c r="C3" s="2" t="s">
        <v>535</v>
      </c>
      <c r="D3" s="2" t="s">
        <v>536</v>
      </c>
      <c r="E3" s="2" t="s">
        <v>537</v>
      </c>
      <c r="F3" s="2" t="s">
        <v>126</v>
      </c>
      <c r="G3" s="2" t="s">
        <v>538</v>
      </c>
    </row>
    <row r="4" spans="1:7" ht="42" customHeight="1">
      <c r="A4" s="2" t="s">
        <v>539</v>
      </c>
      <c r="B4" s="2" t="s">
        <v>354</v>
      </c>
      <c r="C4" s="2" t="s">
        <v>540</v>
      </c>
      <c r="D4" s="2" t="s">
        <v>541</v>
      </c>
      <c r="E4" s="2" t="s">
        <v>542</v>
      </c>
      <c r="F4" s="2" t="s">
        <v>126</v>
      </c>
      <c r="G4" s="2" t="s">
        <v>543</v>
      </c>
    </row>
    <row r="5" spans="1:7" ht="42" customHeight="1">
      <c r="A5" s="2" t="s">
        <v>544</v>
      </c>
      <c r="B5" s="2" t="s">
        <v>354</v>
      </c>
      <c r="C5" s="2" t="s">
        <v>540</v>
      </c>
      <c r="D5" s="2" t="s">
        <v>541</v>
      </c>
      <c r="E5" s="2" t="s">
        <v>545</v>
      </c>
      <c r="F5" s="2" t="s">
        <v>126</v>
      </c>
      <c r="G5" s="2" t="s">
        <v>546</v>
      </c>
    </row>
    <row r="6" spans="1:7" ht="42" customHeight="1">
      <c r="A6" s="2" t="s">
        <v>547</v>
      </c>
      <c r="B6" s="2" t="s">
        <v>354</v>
      </c>
      <c r="C6" s="2" t="s">
        <v>540</v>
      </c>
      <c r="D6" s="2" t="s">
        <v>541</v>
      </c>
      <c r="E6" s="2" t="s">
        <v>548</v>
      </c>
      <c r="F6" s="2" t="s">
        <v>126</v>
      </c>
      <c r="G6" s="2" t="s">
        <v>549</v>
      </c>
    </row>
    <row r="7" spans="1:7" ht="42" customHeight="1">
      <c r="A7" s="2" t="s">
        <v>373</v>
      </c>
      <c r="B7" s="2" t="s">
        <v>374</v>
      </c>
      <c r="C7" s="2" t="s">
        <v>550</v>
      </c>
      <c r="D7" s="2" t="s">
        <v>551</v>
      </c>
      <c r="E7" s="2" t="s">
        <v>552</v>
      </c>
      <c r="F7" s="2" t="s">
        <v>126</v>
      </c>
      <c r="G7" s="2" t="s">
        <v>553</v>
      </c>
    </row>
    <row r="8" spans="1:7" ht="42" customHeight="1">
      <c r="A8" s="2" t="s">
        <v>554</v>
      </c>
      <c r="B8" s="2" t="s">
        <v>374</v>
      </c>
      <c r="C8" s="2" t="s">
        <v>550</v>
      </c>
      <c r="D8" s="2" t="s">
        <v>551</v>
      </c>
      <c r="E8" s="2" t="s">
        <v>552</v>
      </c>
      <c r="F8" s="2" t="s">
        <v>126</v>
      </c>
      <c r="G8" s="2" t="s">
        <v>553</v>
      </c>
    </row>
    <row r="9" spans="1:7" ht="42" customHeight="1">
      <c r="A9" s="2" t="s">
        <v>555</v>
      </c>
      <c r="B9" s="2" t="s">
        <v>25</v>
      </c>
      <c r="C9" s="2" t="s">
        <v>556</v>
      </c>
      <c r="D9" s="2" t="s">
        <v>557</v>
      </c>
      <c r="E9" s="2" t="s">
        <v>558</v>
      </c>
      <c r="F9" s="2" t="s">
        <v>126</v>
      </c>
      <c r="G9" s="2" t="s">
        <v>559</v>
      </c>
    </row>
    <row r="10" spans="1:7" ht="42" customHeight="1">
      <c r="A10" s="2" t="s">
        <v>560</v>
      </c>
      <c r="B10" s="2" t="s">
        <v>36</v>
      </c>
      <c r="C10" s="2" t="s">
        <v>561</v>
      </c>
      <c r="D10" s="2" t="s">
        <v>562</v>
      </c>
      <c r="E10" s="2" t="s">
        <v>563</v>
      </c>
      <c r="F10" s="2" t="s">
        <v>109</v>
      </c>
      <c r="G10" s="2" t="s">
        <v>564</v>
      </c>
    </row>
    <row r="11" spans="1:7" ht="42" customHeight="1">
      <c r="A11" s="2" t="s">
        <v>461</v>
      </c>
      <c r="B11" s="2" t="s">
        <v>33</v>
      </c>
      <c r="C11" s="2" t="s">
        <v>565</v>
      </c>
      <c r="D11" s="2" t="s">
        <v>566</v>
      </c>
      <c r="E11" s="2" t="s">
        <v>567</v>
      </c>
      <c r="F11" s="2" t="s">
        <v>126</v>
      </c>
      <c r="G11" s="2" t="s">
        <v>568</v>
      </c>
    </row>
    <row r="12" spans="1:7" ht="42" customHeight="1">
      <c r="A12" s="2" t="s">
        <v>569</v>
      </c>
      <c r="B12" s="2" t="s">
        <v>513</v>
      </c>
      <c r="C12" s="2" t="s">
        <v>570</v>
      </c>
      <c r="D12" s="2" t="s">
        <v>571</v>
      </c>
      <c r="E12" s="2" t="s">
        <v>572</v>
      </c>
      <c r="F12" s="2" t="s">
        <v>126</v>
      </c>
      <c r="G12" s="2" t="s">
        <v>573</v>
      </c>
    </row>
  </sheetData>
  <phoneticPr fontId="6" type="noConversion"/>
  <conditionalFormatting sqref="D2:D12">
    <cfRule type="containsText" dxfId="0" priority="1" operator="containsText" text="失敗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調查摘要</vt:lpstr>
      <vt:lpstr>商品完整資料</vt:lpstr>
      <vt:lpstr>同款商品跨平台比較</vt:lpstr>
      <vt:lpstr>檔期主打商品</vt:lpstr>
      <vt:lpstr>促銷與贈品比較</vt:lpstr>
      <vt:lpstr>來源與搜尋紀錄</vt:lpstr>
      <vt:lpstr>缺漏與異常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Hsiang-Hsun Wu</dc:creator>
  <cp:lastModifiedBy>Hsiang-Hsun Wu</cp:lastModifiedBy>
  <dcterms:modified xsi:type="dcterms:W3CDTF">2026-07-14T12:16:03Z</dcterms:modified>
</cp:coreProperties>
</file>